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家具" sheetId="14" r:id="rId1"/>
  </sheets>
  <definedNames>
    <definedName name="_xlnm._FilterDatabase" localSheetId="0" hidden="1">家具!$A$2:$IV$196</definedName>
    <definedName name="_xlnm.Print_Titles" localSheetId="0">家具!$1:$2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BD8041DEEFCC4BA280DF1919E63BA99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770" y="931545"/>
          <a:ext cx="751840" cy="1133475"/>
        </a:xfrm>
        <a:prstGeom prst="rect">
          <a:avLst/>
        </a:prstGeom>
      </xdr:spPr>
    </xdr:pic>
  </etc:cellImage>
  <etc:cellImage>
    <xdr:pic>
      <xdr:nvPicPr>
        <xdr:cNvPr id="222" name="ID_C182E7FBE9A24B5B85F54FC2F377DD5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06231490"/>
          <a:ext cx="1352550" cy="835025"/>
        </a:xfrm>
        <a:prstGeom prst="rect">
          <a:avLst/>
        </a:prstGeom>
      </xdr:spPr>
    </xdr:pic>
  </etc:cellImage>
  <etc:cellImage>
    <xdr:pic>
      <xdr:nvPicPr>
        <xdr:cNvPr id="152" name="ID_F150E9EE3CBD4CD2B9D2852AF83F6B61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31364990"/>
          <a:ext cx="1352550" cy="784225"/>
        </a:xfrm>
        <a:prstGeom prst="rect">
          <a:avLst/>
        </a:prstGeom>
      </xdr:spPr>
    </xdr:pic>
  </etc:cellImage>
  <etc:cellImage>
    <xdr:pic>
      <xdr:nvPicPr>
        <xdr:cNvPr id="8" name="ID_9485B57A06F94C70B134B9283E8D9982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230" y="2252345"/>
          <a:ext cx="1264285" cy="1133475"/>
        </a:xfrm>
        <a:prstGeom prst="rect">
          <a:avLst/>
        </a:prstGeom>
      </xdr:spPr>
    </xdr:pic>
  </etc:cellImage>
  <etc:cellImage>
    <xdr:pic>
      <xdr:nvPicPr>
        <xdr:cNvPr id="258" name="ID_59F4A1D826574A4AB884A7E8577EE890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28631115"/>
          <a:ext cx="1352550" cy="722630"/>
        </a:xfrm>
        <a:prstGeom prst="rect">
          <a:avLst/>
        </a:prstGeom>
      </xdr:spPr>
    </xdr:pic>
  </etc:cellImage>
  <etc:cellImage>
    <xdr:pic>
      <xdr:nvPicPr>
        <xdr:cNvPr id="10" name="ID_B8F444C5D0E04DA0B00F90BD6A38EB56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090" y="3676015"/>
          <a:ext cx="711200" cy="1139825"/>
        </a:xfrm>
        <a:prstGeom prst="rect">
          <a:avLst/>
        </a:prstGeom>
      </xdr:spPr>
    </xdr:pic>
  </etc:cellImage>
  <etc:cellImage>
    <xdr:pic>
      <xdr:nvPicPr>
        <xdr:cNvPr id="16" name="ID_DFF83895ED934DBABE6A07234D55BBC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9770110"/>
          <a:ext cx="1352550" cy="914400"/>
        </a:xfrm>
        <a:prstGeom prst="rect">
          <a:avLst/>
        </a:prstGeom>
      </xdr:spPr>
    </xdr:pic>
  </etc:cellImage>
  <etc:cellImage>
    <xdr:pic>
      <xdr:nvPicPr>
        <xdr:cNvPr id="132" name="ID_35853C64F5134E50B72D05730CDE7567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02640130"/>
          <a:ext cx="1352550" cy="948055"/>
        </a:xfrm>
        <a:prstGeom prst="rect">
          <a:avLst/>
        </a:prstGeom>
      </xdr:spPr>
    </xdr:pic>
  </etc:cellImage>
  <etc:cellImage>
    <xdr:pic>
      <xdr:nvPicPr>
        <xdr:cNvPr id="254" name="ID_4532D52A061C4835A3949BFB0A3412BA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25016060"/>
          <a:ext cx="1352550" cy="821690"/>
        </a:xfrm>
        <a:prstGeom prst="rect">
          <a:avLst/>
        </a:prstGeom>
      </xdr:spPr>
    </xdr:pic>
  </etc:cellImage>
  <etc:cellImage>
    <xdr:pic>
      <xdr:nvPicPr>
        <xdr:cNvPr id="230" name="ID_BBB33C1979334F6A9FA34451112A6223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0614380"/>
          <a:ext cx="1352550" cy="1007110"/>
        </a:xfrm>
        <a:prstGeom prst="rect">
          <a:avLst/>
        </a:prstGeom>
      </xdr:spPr>
    </xdr:pic>
  </etc:cellImage>
  <etc:cellImage>
    <xdr:pic>
      <xdr:nvPicPr>
        <xdr:cNvPr id="14" name="ID_A28B187107DC4970AAB9A4DC9F065DAC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" y="7058660"/>
          <a:ext cx="1210310" cy="1139825"/>
        </a:xfrm>
        <a:prstGeom prst="rect">
          <a:avLst/>
        </a:prstGeom>
      </xdr:spPr>
    </xdr:pic>
  </etc:cellImage>
  <etc:cellImage>
    <xdr:pic>
      <xdr:nvPicPr>
        <xdr:cNvPr id="130" name="ID_C80DF16945524C89A98F94184F574603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" y="100459540"/>
          <a:ext cx="1101090" cy="1636395"/>
        </a:xfrm>
        <a:prstGeom prst="rect">
          <a:avLst/>
        </a:prstGeom>
      </xdr:spPr>
    </xdr:pic>
  </etc:cellImage>
  <etc:cellImage>
    <xdr:pic>
      <xdr:nvPicPr>
        <xdr:cNvPr id="476" name="ID_721D5015130B4C6FAA4406C741FA5249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235" y="363041565"/>
          <a:ext cx="1184910" cy="1139825"/>
        </a:xfrm>
        <a:prstGeom prst="rect">
          <a:avLst/>
        </a:prstGeom>
      </xdr:spPr>
    </xdr:pic>
  </etc:cellImage>
  <etc:cellImage>
    <xdr:pic>
      <xdr:nvPicPr>
        <xdr:cNvPr id="400" name="ID_FE8303628CD44B8EB9F797FBC6AA6CA5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" y="319453895"/>
          <a:ext cx="862330" cy="1139825"/>
        </a:xfrm>
        <a:prstGeom prst="rect">
          <a:avLst/>
        </a:prstGeom>
      </xdr:spPr>
    </xdr:pic>
  </etc:cellImage>
  <etc:cellImage>
    <xdr:pic>
      <xdr:nvPicPr>
        <xdr:cNvPr id="9" name="ID_9E3B520F11B64725ACE366F5E2D9A32B" descr="G10-AJC1-2X医疗衣物柜-2门放鞋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16990" y="90930730"/>
          <a:ext cx="1041400" cy="1599565"/>
        </a:xfrm>
        <a:prstGeom prst="rect">
          <a:avLst/>
        </a:prstGeom>
      </xdr:spPr>
    </xdr:pic>
  </etc:cellImage>
  <etc:cellImage>
    <xdr:pic>
      <xdr:nvPicPr>
        <xdr:cNvPr id="12" name="ID_9073EED7EF5B4695953D5404CA3DCEEB"/>
        <xdr:cNvPicPr>
          <a:picLocks noChangeAspect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5514340"/>
          <a:ext cx="1352550" cy="568325"/>
        </a:xfrm>
        <a:prstGeom prst="rect">
          <a:avLst/>
        </a:prstGeom>
      </xdr:spPr>
    </xdr:pic>
  </etc:cellImage>
  <etc:cellImage>
    <xdr:pic>
      <xdr:nvPicPr>
        <xdr:cNvPr id="80" name="ID_CFAA7ED164784D3D945AC89AD2047EDF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320" y="54768750"/>
          <a:ext cx="405130" cy="1133475"/>
        </a:xfrm>
        <a:prstGeom prst="rect">
          <a:avLst/>
        </a:prstGeom>
      </xdr:spPr>
    </xdr:pic>
  </etc:cellImage>
  <etc:cellImage>
    <xdr:pic>
      <xdr:nvPicPr>
        <xdr:cNvPr id="380" name="ID_C42F65D4653845429806CDE1F4FA0800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315" y="305275615"/>
          <a:ext cx="666750" cy="1206500"/>
        </a:xfrm>
        <a:prstGeom prst="rect">
          <a:avLst/>
        </a:prstGeom>
      </xdr:spPr>
    </xdr:pic>
  </etc:cellImage>
  <etc:cellImage>
    <xdr:pic>
      <xdr:nvPicPr>
        <xdr:cNvPr id="20" name="ID_844D3590ABB545379174F2BC806D1B62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283180"/>
          <a:ext cx="1352550" cy="911860"/>
        </a:xfrm>
        <a:prstGeom prst="rect">
          <a:avLst/>
        </a:prstGeom>
      </xdr:spPr>
    </xdr:pic>
  </etc:cellImage>
  <etc:cellImage>
    <xdr:pic>
      <xdr:nvPicPr>
        <xdr:cNvPr id="188" name="ID_9543A86AE0154EE0AA4F361322DE7C38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77855880"/>
          <a:ext cx="1352550" cy="1007110"/>
        </a:xfrm>
        <a:prstGeom prst="rect">
          <a:avLst/>
        </a:prstGeom>
      </xdr:spPr>
    </xdr:pic>
  </etc:cellImage>
  <etc:cellImage>
    <xdr:pic>
      <xdr:nvPicPr>
        <xdr:cNvPr id="62" name="ID_B06BE4F320414AE8A02AA1106B82587B"/>
        <xdr:cNvPicPr>
          <a:picLocks noChangeAspect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43044745"/>
          <a:ext cx="1352550" cy="989330"/>
        </a:xfrm>
        <a:prstGeom prst="rect">
          <a:avLst/>
        </a:prstGeom>
      </xdr:spPr>
    </xdr:pic>
  </etc:cellImage>
  <etc:cellImage>
    <xdr:pic>
      <xdr:nvPicPr>
        <xdr:cNvPr id="17" name="ID_35F7A2D41B694EACAAAD848AD65E9E79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404471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CFE2B25BEA50483E8722CD346CA3FFD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2733655"/>
          <a:ext cx="1352550" cy="911860"/>
        </a:xfrm>
        <a:prstGeom prst="rect">
          <a:avLst/>
        </a:prstGeom>
      </xdr:spPr>
    </xdr:pic>
  </etc:cellImage>
  <etc:cellImage>
    <xdr:pic>
      <xdr:nvPicPr>
        <xdr:cNvPr id="66" name="ID_8924FB7AA0674460B9065365ED61C116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475" y="46354365"/>
          <a:ext cx="391795" cy="1133475"/>
        </a:xfrm>
        <a:prstGeom prst="rect">
          <a:avLst/>
        </a:prstGeom>
      </xdr:spPr>
    </xdr:pic>
  </etc:cellImage>
  <etc:cellImage>
    <xdr:pic>
      <xdr:nvPicPr>
        <xdr:cNvPr id="84" name="ID_29B2CC2DA4054101BFCFFBB5ED9410F8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620" y="57268745"/>
          <a:ext cx="866140" cy="682625"/>
        </a:xfrm>
        <a:prstGeom prst="rect">
          <a:avLst/>
        </a:prstGeom>
      </xdr:spPr>
    </xdr:pic>
  </etc:cellImage>
  <etc:cellImage>
    <xdr:pic>
      <xdr:nvPicPr>
        <xdr:cNvPr id="22" name="ID_19C484DCB43141FB9D6ED7318467AD15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8031460"/>
          <a:ext cx="1352550" cy="911860"/>
        </a:xfrm>
        <a:prstGeom prst="rect">
          <a:avLst/>
        </a:prstGeom>
      </xdr:spPr>
    </xdr:pic>
  </etc:cellImage>
  <etc:cellImage>
    <xdr:pic>
      <xdr:nvPicPr>
        <xdr:cNvPr id="470" name="ID_0D74E424671D42C1A5BE516B010F9D32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490" y="358850565"/>
          <a:ext cx="406400" cy="1139825"/>
        </a:xfrm>
        <a:prstGeom prst="rect">
          <a:avLst/>
        </a:prstGeom>
      </xdr:spPr>
    </xdr:pic>
  </etc:cellImage>
  <etc:cellImage>
    <xdr:pic>
      <xdr:nvPicPr>
        <xdr:cNvPr id="178" name="ID_5A5816FF5FA74072A504958E203537E2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67378380"/>
          <a:ext cx="1352550" cy="1007110"/>
        </a:xfrm>
        <a:prstGeom prst="rect">
          <a:avLst/>
        </a:prstGeom>
      </xdr:spPr>
    </xdr:pic>
  </etc:cellImage>
  <etc:cellImage>
    <xdr:pic>
      <xdr:nvPicPr>
        <xdr:cNvPr id="697" name="ID_0DF2DDE7FA7642DEA8D2A29D2EAD38B0" descr="3.2.10.44.15.0002医疗衣物柜-4门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337945" y="95081725"/>
          <a:ext cx="998855" cy="1413510"/>
        </a:xfrm>
        <a:prstGeom prst="rect">
          <a:avLst/>
        </a:prstGeom>
      </xdr:spPr>
    </xdr:pic>
  </etc:cellImage>
  <etc:cellImage>
    <xdr:pic>
      <xdr:nvPicPr>
        <xdr:cNvPr id="90" name="ID_1113B8C0380E44F98ECDEA68B72177D9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60525025"/>
          <a:ext cx="1352550" cy="690880"/>
        </a:xfrm>
        <a:prstGeom prst="rect">
          <a:avLst/>
        </a:prstGeom>
      </xdr:spPr>
    </xdr:pic>
  </etc:cellImage>
  <etc:cellImage>
    <xdr:pic>
      <xdr:nvPicPr>
        <xdr:cNvPr id="182" name="ID_24A9C7237A1E49E198E438F8350D5251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71569380"/>
          <a:ext cx="1352550" cy="1007110"/>
        </a:xfrm>
        <a:prstGeom prst="rect">
          <a:avLst/>
        </a:prstGeom>
      </xdr:spPr>
    </xdr:pic>
  </etc:cellImage>
  <etc:cellImage>
    <xdr:pic>
      <xdr:nvPicPr>
        <xdr:cNvPr id="38" name="ID_CFF49BACC5D4410BBED334F1F444F092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4487505"/>
          <a:ext cx="1352550" cy="797560"/>
        </a:xfrm>
        <a:prstGeom prst="rect">
          <a:avLst/>
        </a:prstGeom>
      </xdr:spPr>
    </xdr:pic>
  </etc:cellImage>
  <etc:cellImage>
    <xdr:pic>
      <xdr:nvPicPr>
        <xdr:cNvPr id="360" name="ID_109215040E7A41A7BD0D6B328FB93B6F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705" y="293935785"/>
          <a:ext cx="775335" cy="1133475"/>
        </a:xfrm>
        <a:prstGeom prst="rect">
          <a:avLst/>
        </a:prstGeom>
      </xdr:spPr>
    </xdr:pic>
  </etc:cellImage>
  <etc:cellImage>
    <xdr:pic>
      <xdr:nvPicPr>
        <xdr:cNvPr id="40" name="ID_7B966FE1C72F429BAECEFB285EC9A71D"/>
        <xdr:cNvPicPr>
          <a:picLocks noChangeAspect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6666190"/>
          <a:ext cx="1352550" cy="796925"/>
        </a:xfrm>
        <a:prstGeom prst="rect">
          <a:avLst/>
        </a:prstGeom>
      </xdr:spPr>
    </xdr:pic>
  </etc:cellImage>
  <etc:cellImage>
    <xdr:pic>
      <xdr:nvPicPr>
        <xdr:cNvPr id="108" name="ID_DB5F9B40A947486E902B70D28473F469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770" y="70852665"/>
          <a:ext cx="1005840" cy="1139825"/>
        </a:xfrm>
        <a:prstGeom prst="rect">
          <a:avLst/>
        </a:prstGeom>
      </xdr:spPr>
    </xdr:pic>
  </etc:cellImage>
  <etc:cellImage>
    <xdr:pic>
      <xdr:nvPicPr>
        <xdr:cNvPr id="21" name="ID_0870CF8694B74827918D08846CDE6A43"/>
        <xdr:cNvPicPr>
          <a:picLocks noChangeAspect="1"/>
        </xdr:cNvPicPr>
      </xdr:nvPicPr>
      <xdr:blipFill>
        <a:blip r:embed="rId33" r:link="rId23"/>
        <a:srcRect l="30769" r="39371"/>
        <a:stretch>
          <a:fillRect/>
        </a:stretch>
      </xdr:blipFill>
      <xdr:spPr>
        <a:xfrm>
          <a:off x="1484630" y="111430435"/>
          <a:ext cx="705485" cy="1721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5E52EAAF4AE74A588B4EFB374039D971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2645985"/>
          <a:ext cx="1352550" cy="752475"/>
        </a:xfrm>
        <a:prstGeom prst="rect">
          <a:avLst/>
        </a:prstGeom>
      </xdr:spPr>
    </xdr:pic>
  </etc:cellImage>
  <etc:cellImage>
    <xdr:pic>
      <xdr:nvPicPr>
        <xdr:cNvPr id="310" name="ID_1AA295C67DD14B7789E71C7900F7570F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260899275"/>
          <a:ext cx="1179830" cy="1139825"/>
        </a:xfrm>
        <a:prstGeom prst="rect">
          <a:avLst/>
        </a:prstGeom>
      </xdr:spPr>
    </xdr:pic>
  </etc:cellImage>
  <etc:cellImage>
    <xdr:pic>
      <xdr:nvPicPr>
        <xdr:cNvPr id="52" name="ID_F494A7FBA92F4792A87D8A5647445617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4323020"/>
          <a:ext cx="1352550" cy="1082040"/>
        </a:xfrm>
        <a:prstGeom prst="rect">
          <a:avLst/>
        </a:prstGeom>
      </xdr:spPr>
    </xdr:pic>
  </etc:cellImage>
  <etc:cellImage>
    <xdr:pic>
      <xdr:nvPicPr>
        <xdr:cNvPr id="144" name="ID_ACA4A8FBDD374E5491C7C07C33B0DA01"/>
        <xdr:cNvPicPr>
          <a:picLocks noChangeAspect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470" y="118015385"/>
          <a:ext cx="1234440" cy="1139825"/>
        </a:xfrm>
        <a:prstGeom prst="rect">
          <a:avLst/>
        </a:prstGeom>
      </xdr:spPr>
    </xdr:pic>
  </etc:cellImage>
  <etc:cellImage>
    <xdr:pic>
      <xdr:nvPicPr>
        <xdr:cNvPr id="116" name="ID_5C68AA0C04514513A3A8DDDFC7B90BEB"/>
        <xdr:cNvPicPr>
          <a:picLocks noChangeAspect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645" y="80707230"/>
          <a:ext cx="719455" cy="1133475"/>
        </a:xfrm>
        <a:prstGeom prst="rect">
          <a:avLst/>
        </a:prstGeom>
      </xdr:spPr>
    </xdr:pic>
  </etc:cellImage>
  <etc:cellImage>
    <xdr:pic>
      <xdr:nvPicPr>
        <xdr:cNvPr id="352" name="ID_3C5BE11597B247F5976F31224EE8DE4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40136880"/>
          <a:ext cx="1352550" cy="1007110"/>
        </a:xfrm>
        <a:prstGeom prst="rect">
          <a:avLst/>
        </a:prstGeom>
      </xdr:spPr>
    </xdr:pic>
  </etc:cellImage>
  <etc:cellImage>
    <xdr:pic>
      <xdr:nvPicPr>
        <xdr:cNvPr id="54" name="ID_65C5CE9AA8CF432593F4A84090351A6B"/>
        <xdr:cNvPicPr>
          <a:picLocks noChangeAspect="1"/>
        </xdr:cNvPicPr>
      </xdr:nvPicPr>
      <xdr:blipFill>
        <a:blip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6162615"/>
          <a:ext cx="1352550" cy="1189990"/>
        </a:xfrm>
        <a:prstGeom prst="rect">
          <a:avLst/>
        </a:prstGeom>
      </xdr:spPr>
    </xdr:pic>
  </etc:cellImage>
  <etc:cellImage>
    <xdr:pic>
      <xdr:nvPicPr>
        <xdr:cNvPr id="74" name="ID_E3A84350103E4D06922CC5FA7A45FF63"/>
        <xdr:cNvPicPr>
          <a:picLocks noChangeAspect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51212115"/>
          <a:ext cx="405130" cy="1133475"/>
        </a:xfrm>
        <a:prstGeom prst="rect">
          <a:avLst/>
        </a:prstGeom>
      </xdr:spPr>
    </xdr:pic>
  </etc:cellImage>
  <etc:cellImage>
    <xdr:pic>
      <xdr:nvPicPr>
        <xdr:cNvPr id="118" name="ID_8FEF1CDDD6A743EDBF402A8860CA2497"/>
        <xdr:cNvPicPr>
          <a:picLocks noChangeAspect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955" y="82339180"/>
          <a:ext cx="585470" cy="1139825"/>
        </a:xfrm>
        <a:prstGeom prst="rect">
          <a:avLst/>
        </a:prstGeom>
      </xdr:spPr>
    </xdr:pic>
  </etc:cellImage>
  <etc:cellImage>
    <xdr:pic>
      <xdr:nvPicPr>
        <xdr:cNvPr id="56" name="ID_BB267C30D3EC41FBBD653B78A698D45C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7889180"/>
          <a:ext cx="1352550" cy="1089660"/>
        </a:xfrm>
        <a:prstGeom prst="rect">
          <a:avLst/>
        </a:prstGeom>
      </xdr:spPr>
    </xdr:pic>
  </etc:cellImage>
  <etc:cellImage>
    <xdr:pic>
      <xdr:nvPicPr>
        <xdr:cNvPr id="140" name="ID_5F3CF59F7DC5459A80871872EBAA0C48"/>
        <xdr:cNvPicPr>
          <a:picLocks noChangeAspect="1"/>
        </xdr:cNvPicPr>
      </xdr:nvPicPr>
      <xdr:blipFill>
        <a:blip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560" y="113744375"/>
          <a:ext cx="810260" cy="1137920"/>
        </a:xfrm>
        <a:prstGeom prst="rect">
          <a:avLst/>
        </a:prstGeom>
      </xdr:spPr>
    </xdr:pic>
  </etc:cellImage>
  <etc:cellImage>
    <xdr:pic>
      <xdr:nvPicPr>
        <xdr:cNvPr id="302" name="ID_FC2E3120398D45D59D351816FEC668A2"/>
        <xdr:cNvPicPr>
          <a:picLocks noChangeAspect="1"/>
        </xdr:cNvPicPr>
      </xdr:nvPicPr>
      <xdr:blipFill>
        <a:blip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56807970"/>
          <a:ext cx="1352550" cy="948690"/>
        </a:xfrm>
        <a:prstGeom prst="rect">
          <a:avLst/>
        </a:prstGeom>
      </xdr:spPr>
    </xdr:pic>
  </etc:cellImage>
  <etc:cellImage>
    <xdr:pic>
      <xdr:nvPicPr>
        <xdr:cNvPr id="58" name="ID_7547F982D4934EF99A16871663EBFC2D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9569390"/>
          <a:ext cx="1352550" cy="1082040"/>
        </a:xfrm>
        <a:prstGeom prst="rect">
          <a:avLst/>
        </a:prstGeom>
      </xdr:spPr>
    </xdr:pic>
  </etc:cellImage>
  <etc:cellImage>
    <xdr:pic>
      <xdr:nvPicPr>
        <xdr:cNvPr id="60" name="ID_3B89762F115241BFBF02271580ACFC87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41245790"/>
          <a:ext cx="1352550" cy="1082040"/>
        </a:xfrm>
        <a:prstGeom prst="rect">
          <a:avLst/>
        </a:prstGeom>
      </xdr:spPr>
    </xdr:pic>
  </etc:cellImage>
  <etc:cellImage>
    <xdr:pic>
      <xdr:nvPicPr>
        <xdr:cNvPr id="64" name="ID_3F753BE9BF8E4C9A853C7D34CDD947E1"/>
        <xdr:cNvPicPr>
          <a:picLocks noChangeAspect="1"/>
        </xdr:cNvPicPr>
      </xdr:nvPicPr>
      <xdr:blipFill>
        <a:blip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44922440"/>
          <a:ext cx="1352550" cy="949325"/>
        </a:xfrm>
        <a:prstGeom prst="rect">
          <a:avLst/>
        </a:prstGeom>
      </xdr:spPr>
    </xdr:pic>
  </etc:cellImage>
  <etc:cellImage>
    <xdr:pic>
      <xdr:nvPicPr>
        <xdr:cNvPr id="82" name="ID_594BE28361E6495899E58072ED432779"/>
        <xdr:cNvPicPr>
          <a:picLocks noChangeAspect="1"/>
        </xdr:cNvPicPr>
      </xdr:nvPicPr>
      <xdr:blipFill>
        <a:blip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920" y="56098440"/>
          <a:ext cx="890905" cy="718185"/>
        </a:xfrm>
        <a:prstGeom prst="rect">
          <a:avLst/>
        </a:prstGeom>
      </xdr:spPr>
    </xdr:pic>
  </etc:cellImage>
  <etc:cellImage>
    <xdr:pic>
      <xdr:nvPicPr>
        <xdr:cNvPr id="68" name="ID_7A571467050A43CB8242FF22C0AAE29B"/>
        <xdr:cNvPicPr>
          <a:picLocks noChangeAspect="1"/>
        </xdr:cNvPicPr>
      </xdr:nvPicPr>
      <xdr:blipFill>
        <a:blip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47789465"/>
          <a:ext cx="874395" cy="1504950"/>
        </a:xfrm>
        <a:prstGeom prst="rect">
          <a:avLst/>
        </a:prstGeom>
      </xdr:spPr>
    </xdr:pic>
  </etc:cellImage>
  <etc:cellImage>
    <xdr:pic>
      <xdr:nvPicPr>
        <xdr:cNvPr id="440" name="ID_0D63947EB9164E4BB20269D0B43DA38B"/>
        <xdr:cNvPicPr>
          <a:picLocks noChangeAspect="1"/>
        </xdr:cNvPicPr>
      </xdr:nvPicPr>
      <xdr:blipFill>
        <a:blip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30" y="342178640"/>
          <a:ext cx="1341120" cy="1133475"/>
        </a:xfrm>
        <a:prstGeom prst="rect">
          <a:avLst/>
        </a:prstGeom>
      </xdr:spPr>
    </xdr:pic>
  </etc:cellImage>
  <etc:cellImage>
    <xdr:pic>
      <xdr:nvPicPr>
        <xdr:cNvPr id="304" name="ID_F5150EB0AA05418BA18AA37C46B9171B"/>
        <xdr:cNvPicPr>
          <a:picLocks noChangeAspect="1"/>
        </xdr:cNvPicPr>
      </xdr:nvPicPr>
      <xdr:blipFill>
        <a:blip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" y="258344670"/>
          <a:ext cx="1076325" cy="1133475"/>
        </a:xfrm>
        <a:prstGeom prst="rect">
          <a:avLst/>
        </a:prstGeom>
      </xdr:spPr>
    </xdr:pic>
  </etc:cellImage>
  <etc:cellImage>
    <xdr:pic>
      <xdr:nvPicPr>
        <xdr:cNvPr id="70" name="ID_C6CA244942DF495EA2108BEDBCAFAB6E"/>
        <xdr:cNvPicPr>
          <a:picLocks noChangeAspect="1"/>
        </xdr:cNvPicPr>
      </xdr:nvPicPr>
      <xdr:blipFill>
        <a:blip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49685575"/>
          <a:ext cx="640080" cy="1137920"/>
        </a:xfrm>
        <a:prstGeom prst="rect">
          <a:avLst/>
        </a:prstGeom>
      </xdr:spPr>
    </xdr:pic>
  </etc:cellImage>
  <etc:cellImage>
    <xdr:pic>
      <xdr:nvPicPr>
        <xdr:cNvPr id="76" name="ID_331EC5130FE04887967122BE5EF7D9D7"/>
        <xdr:cNvPicPr>
          <a:picLocks noChangeAspect="1"/>
        </xdr:cNvPicPr>
      </xdr:nvPicPr>
      <xdr:blipFill>
        <a:blip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52381785"/>
          <a:ext cx="405130" cy="1133475"/>
        </a:xfrm>
        <a:prstGeom prst="rect">
          <a:avLst/>
        </a:prstGeom>
      </xdr:spPr>
    </xdr:pic>
  </etc:cellImage>
  <etc:cellImage>
    <xdr:pic>
      <xdr:nvPicPr>
        <xdr:cNvPr id="264" name="ID_524AB87175E44D8C8709F7F60647BA1F"/>
        <xdr:cNvPicPr>
          <a:picLocks noChangeAspect="1"/>
        </xdr:cNvPicPr>
      </xdr:nvPicPr>
      <xdr:blipFill>
        <a:blip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515" y="233438700"/>
          <a:ext cx="768350" cy="1139825"/>
        </a:xfrm>
        <a:prstGeom prst="rect">
          <a:avLst/>
        </a:prstGeom>
      </xdr:spPr>
    </xdr:pic>
  </etc:cellImage>
  <etc:cellImage>
    <xdr:pic>
      <xdr:nvPicPr>
        <xdr:cNvPr id="586" name="ID_CE5FC3A1047C4E99A2E38FA716A8064A"/>
        <xdr:cNvPicPr>
          <a:picLocks noChangeAspect="1"/>
        </xdr:cNvPicPr>
      </xdr:nvPicPr>
      <xdr:blipFill>
        <a:blip r:embed="rId52" r:link="rId23"/>
        <a:stretch>
          <a:fillRect/>
        </a:stretch>
      </xdr:blipFill>
      <xdr:spPr>
        <a:xfrm>
          <a:off x="1308100" y="93028135"/>
          <a:ext cx="1058545" cy="1539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0" name="ID_41F0792BEB5C486784970DE04706E68B"/>
        <xdr:cNvPicPr>
          <a:picLocks noChangeAspect="1"/>
        </xdr:cNvPicPr>
      </xdr:nvPicPr>
      <xdr:blipFill>
        <a:blip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100" y="250132850"/>
          <a:ext cx="805180" cy="1139825"/>
        </a:xfrm>
        <a:prstGeom prst="rect">
          <a:avLst/>
        </a:prstGeom>
      </xdr:spPr>
    </xdr:pic>
  </etc:cellImage>
  <etc:cellImage>
    <xdr:pic>
      <xdr:nvPicPr>
        <xdr:cNvPr id="7" name="ID_8AE5F47A351F41C3B652BF79A0DC109A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58573035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9569C945272C4A799663C5F74451F2AC"/>
        <xdr:cNvPicPr>
          <a:picLocks noChangeAspect="1"/>
        </xdr:cNvPicPr>
      </xdr:nvPicPr>
      <xdr:blipFill>
        <a:blip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" y="62052200"/>
          <a:ext cx="994410" cy="1137920"/>
        </a:xfrm>
        <a:prstGeom prst="rect">
          <a:avLst/>
        </a:prstGeom>
      </xdr:spPr>
    </xdr:pic>
  </etc:cellImage>
  <etc:cellImage>
    <xdr:pic>
      <xdr:nvPicPr>
        <xdr:cNvPr id="134" name="ID_7D2A337FC69D4075881963BD40C92399"/>
        <xdr:cNvPicPr>
          <a:picLocks noChangeAspect="1"/>
        </xdr:cNvPicPr>
      </xdr:nvPicPr>
      <xdr:blipFill>
        <a:blip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965" y="104220010"/>
          <a:ext cx="425450" cy="1140460"/>
        </a:xfrm>
        <a:prstGeom prst="rect">
          <a:avLst/>
        </a:prstGeom>
      </xdr:spPr>
    </xdr:pic>
  </etc:cellImage>
  <etc:cellImage>
    <xdr:pic>
      <xdr:nvPicPr>
        <xdr:cNvPr id="138" name="ID_4D0E0E845B9442E78110D39CE4D1E717"/>
        <xdr:cNvPicPr>
          <a:picLocks noChangeAspect="1"/>
        </xdr:cNvPicPr>
      </xdr:nvPicPr>
      <xdr:blipFill>
        <a:blip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880" y="109697520"/>
          <a:ext cx="769620" cy="1139825"/>
        </a:xfrm>
        <a:prstGeom prst="rect">
          <a:avLst/>
        </a:prstGeom>
      </xdr:spPr>
    </xdr:pic>
  </etc:cellImage>
  <etc:cellImage>
    <xdr:pic>
      <xdr:nvPicPr>
        <xdr:cNvPr id="104" name="ID_3F926B74F1AC448BB2E4D318F98B1269"/>
        <xdr:cNvPicPr>
          <a:picLocks noChangeAspect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040" y="67918965"/>
          <a:ext cx="1003300" cy="1139825"/>
        </a:xfrm>
        <a:prstGeom prst="rect">
          <a:avLst/>
        </a:prstGeom>
      </xdr:spPr>
    </xdr:pic>
  </etc:cellImage>
  <etc:cellImage>
    <xdr:pic>
      <xdr:nvPicPr>
        <xdr:cNvPr id="441" name="ID_558A6265C3D848C8B8EA8F76EA7794EA"/>
        <xdr:cNvPicPr>
          <a:picLocks noChangeAspect="1"/>
        </xdr:cNvPicPr>
      </xdr:nvPicPr>
      <xdr:blipFill>
        <a:blip r:embed="rId58" r:link="rId23"/>
        <a:stretch>
          <a:fillRect/>
        </a:stretch>
      </xdr:blipFill>
      <xdr:spPr>
        <a:xfrm>
          <a:off x="1161415" y="316551945"/>
          <a:ext cx="1352550" cy="1285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A32634A395E241599C04F179C29870A6"/>
        <xdr:cNvPicPr>
          <a:picLocks noChangeAspect="1"/>
        </xdr:cNvPicPr>
      </xdr:nvPicPr>
      <xdr:blipFill>
        <a:blip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775" y="217125550"/>
          <a:ext cx="671830" cy="1137920"/>
        </a:xfrm>
        <a:prstGeom prst="rect">
          <a:avLst/>
        </a:prstGeom>
      </xdr:spPr>
    </xdr:pic>
  </etc:cellImage>
  <etc:cellImage>
    <xdr:pic>
      <xdr:nvPicPr>
        <xdr:cNvPr id="146" name="ID_0663E163A605419A8CABB767735F5608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33713855"/>
          <a:ext cx="1352550" cy="791845"/>
        </a:xfrm>
        <a:prstGeom prst="rect">
          <a:avLst/>
        </a:prstGeom>
      </xdr:spPr>
    </xdr:pic>
  </etc:cellImage>
  <etc:cellImage>
    <xdr:pic>
      <xdr:nvPicPr>
        <xdr:cNvPr id="13" name="ID_054949F6935947389A0F478959B881D6"/>
        <xdr:cNvPicPr>
          <a:picLocks noChangeAspect="1"/>
        </xdr:cNvPicPr>
      </xdr:nvPicPr>
      <xdr:blipFill>
        <a:blip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320" y="75313540"/>
          <a:ext cx="840740" cy="1552575"/>
        </a:xfrm>
        <a:prstGeom prst="rect">
          <a:avLst/>
        </a:prstGeom>
      </xdr:spPr>
    </xdr:pic>
  </etc:cellImage>
  <etc:cellImage>
    <xdr:pic>
      <xdr:nvPicPr>
        <xdr:cNvPr id="248" name="ID_1D41B73B56AA4531BF29CA8F696BA6EF"/>
        <xdr:cNvPicPr>
          <a:picLocks noChangeAspect="1"/>
        </xdr:cNvPicPr>
      </xdr:nvPicPr>
      <xdr:blipFill>
        <a:blip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395" y="220477715"/>
          <a:ext cx="656590" cy="1139825"/>
        </a:xfrm>
        <a:prstGeom prst="rect">
          <a:avLst/>
        </a:prstGeom>
      </xdr:spPr>
    </xdr:pic>
  </etc:cellImage>
  <etc:cellImage>
    <xdr:pic>
      <xdr:nvPicPr>
        <xdr:cNvPr id="112" name="ID_4CC7DECC3D7E46789F43BCFE77C3ACEB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570" y="77156310"/>
          <a:ext cx="649605" cy="1167130"/>
        </a:xfrm>
        <a:prstGeom prst="rect">
          <a:avLst/>
        </a:prstGeom>
      </xdr:spPr>
    </xdr:pic>
  </etc:cellImage>
  <etc:cellImage>
    <xdr:pic>
      <xdr:nvPicPr>
        <xdr:cNvPr id="114" name="ID_01245A70F0C549E68A7E1D7EDC088361"/>
        <xdr:cNvPicPr>
          <a:picLocks noChangeAspect="1"/>
        </xdr:cNvPicPr>
      </xdr:nvPicPr>
      <xdr:blipFill>
        <a:blip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" y="78970505"/>
          <a:ext cx="604520" cy="1139825"/>
        </a:xfrm>
        <a:prstGeom prst="rect">
          <a:avLst/>
        </a:prstGeom>
      </xdr:spPr>
    </xdr:pic>
  </etc:cellImage>
  <etc:cellImage>
    <xdr:pic>
      <xdr:nvPicPr>
        <xdr:cNvPr id="200" name="ID_822D790BC6FA44789BCDF27024EDB6CA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2519935"/>
          <a:ext cx="1352550" cy="1016635"/>
        </a:xfrm>
        <a:prstGeom prst="rect">
          <a:avLst/>
        </a:prstGeom>
      </xdr:spPr>
    </xdr:pic>
  </etc:cellImage>
  <etc:cellImage>
    <xdr:pic>
      <xdr:nvPicPr>
        <xdr:cNvPr id="120" name="ID_509A7FA68CA94219BDF487C4B180CCDC"/>
        <xdr:cNvPicPr>
          <a:picLocks noChangeAspect="1"/>
        </xdr:cNvPicPr>
      </xdr:nvPicPr>
      <xdr:blipFill>
        <a:blip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84061300"/>
          <a:ext cx="513080" cy="1133475"/>
        </a:xfrm>
        <a:prstGeom prst="rect">
          <a:avLst/>
        </a:prstGeom>
      </xdr:spPr>
    </xdr:pic>
  </etc:cellImage>
  <etc:cellImage>
    <xdr:pic>
      <xdr:nvPicPr>
        <xdr:cNvPr id="300" name="ID_D5EE2B546C624A939B65509F630BBBA0"/>
        <xdr:cNvPicPr>
          <a:picLocks noChangeAspect="1"/>
        </xdr:cNvPicPr>
      </xdr:nvPicPr>
      <xdr:blipFill>
        <a:blip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54712470"/>
          <a:ext cx="1352550" cy="948690"/>
        </a:xfrm>
        <a:prstGeom prst="rect">
          <a:avLst/>
        </a:prstGeom>
      </xdr:spPr>
    </xdr:pic>
  </etc:cellImage>
  <etc:cellImage>
    <xdr:pic>
      <xdr:nvPicPr>
        <xdr:cNvPr id="11" name="ID_F07A11F084004E28AF21D4934CF6CD0C"/>
        <xdr:cNvPicPr>
          <a:picLocks noChangeAspect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" y="88803480"/>
          <a:ext cx="1169670" cy="1847850"/>
        </a:xfrm>
        <a:prstGeom prst="rect">
          <a:avLst/>
        </a:prstGeom>
      </xdr:spPr>
    </xdr:pic>
  </etc:cellImage>
  <etc:cellImage>
    <xdr:pic>
      <xdr:nvPicPr>
        <xdr:cNvPr id="126" name="ID_741E291CC48D460D80D940769D23D380"/>
        <xdr:cNvPicPr>
          <a:picLocks noChangeAspect="1"/>
        </xdr:cNvPicPr>
      </xdr:nvPicPr>
      <xdr:blipFill>
        <a:blip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390" y="96892745"/>
          <a:ext cx="990600" cy="1587500"/>
        </a:xfrm>
        <a:prstGeom prst="rect">
          <a:avLst/>
        </a:prstGeom>
      </xdr:spPr>
    </xdr:pic>
  </etc:cellImage>
  <etc:cellImage>
    <xdr:pic>
      <xdr:nvPicPr>
        <xdr:cNvPr id="348" name="ID_681761FF91544F1EB8CAAD9EE3206658"/>
        <xdr:cNvPicPr>
          <a:picLocks noChangeAspect="1"/>
        </xdr:cNvPicPr>
      </xdr:nvPicPr>
      <xdr:blipFill>
        <a:blip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87525460"/>
          <a:ext cx="1352550" cy="783590"/>
        </a:xfrm>
        <a:prstGeom prst="rect">
          <a:avLst/>
        </a:prstGeom>
      </xdr:spPr>
    </xdr:pic>
  </etc:cellImage>
  <etc:cellImage>
    <xdr:pic>
      <xdr:nvPicPr>
        <xdr:cNvPr id="128" name="ID_86B20B539E8045FF9DBAD438EC2A9791"/>
        <xdr:cNvPicPr>
          <a:picLocks noChangeAspect="1"/>
        </xdr:cNvPicPr>
      </xdr:nvPicPr>
      <xdr:blipFill>
        <a:blip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98959035"/>
          <a:ext cx="1352550" cy="960120"/>
        </a:xfrm>
        <a:prstGeom prst="rect">
          <a:avLst/>
        </a:prstGeom>
      </xdr:spPr>
    </xdr:pic>
  </etc:cellImage>
  <etc:cellImage>
    <xdr:pic>
      <xdr:nvPicPr>
        <xdr:cNvPr id="136" name="ID_05BB1FA08AF24449818D326643C1BC30"/>
        <xdr:cNvPicPr>
          <a:picLocks noChangeAspect="1"/>
        </xdr:cNvPicPr>
      </xdr:nvPicPr>
      <xdr:blipFill>
        <a:blip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505" y="105897045"/>
          <a:ext cx="674370" cy="1139825"/>
        </a:xfrm>
        <a:prstGeom prst="rect">
          <a:avLst/>
        </a:prstGeom>
      </xdr:spPr>
    </xdr:pic>
  </etc:cellImage>
  <etc:cellImage>
    <xdr:pic>
      <xdr:nvPicPr>
        <xdr:cNvPr id="382" name="ID_B8446146D63F4F15A5CE61CBEA24F331"/>
        <xdr:cNvPicPr>
          <a:picLocks noChangeAspect="1"/>
        </xdr:cNvPicPr>
      </xdr:nvPicPr>
      <xdr:blipFill>
        <a:blip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540" y="307614955"/>
          <a:ext cx="622300" cy="1137920"/>
        </a:xfrm>
        <a:prstGeom prst="rect">
          <a:avLst/>
        </a:prstGeom>
      </xdr:spPr>
    </xdr:pic>
  </etc:cellImage>
  <etc:cellImage>
    <xdr:pic>
      <xdr:nvPicPr>
        <xdr:cNvPr id="268" name="ID_A355CA24C7D84C2F82F4A1B488B6763F"/>
        <xdr:cNvPicPr>
          <a:picLocks noChangeAspect="1"/>
        </xdr:cNvPicPr>
      </xdr:nvPicPr>
      <xdr:blipFill>
        <a:blip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37309025"/>
          <a:ext cx="1352550" cy="828675"/>
        </a:xfrm>
        <a:prstGeom prst="rect">
          <a:avLst/>
        </a:prstGeom>
      </xdr:spPr>
    </xdr:pic>
  </etc:cellImage>
  <etc:cellImage>
    <xdr:pic>
      <xdr:nvPicPr>
        <xdr:cNvPr id="19" name="ID_E24F684D4E0541309A6FB680E2C68799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593066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8" name="ID_11DD99D40B6D4823B107C8AF1801A23D"/>
        <xdr:cNvPicPr>
          <a:picLocks noChangeAspect="1"/>
        </xdr:cNvPicPr>
      </xdr:nvPicPr>
      <xdr:blipFill>
        <a:blip r:embed="rId73" r:link="rId23"/>
        <a:stretch>
          <a:fillRect/>
        </a:stretch>
      </xdr:blipFill>
      <xdr:spPr>
        <a:xfrm>
          <a:off x="1351915" y="107614720"/>
          <a:ext cx="970915" cy="1494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6" name="ID_0F749E1489534F5DA2242DE2F2F39A7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86237880"/>
          <a:ext cx="1352550" cy="1007110"/>
        </a:xfrm>
        <a:prstGeom prst="rect">
          <a:avLst/>
        </a:prstGeom>
      </xdr:spPr>
    </xdr:pic>
  </etc:cellImage>
  <etc:cellImage>
    <xdr:pic>
      <xdr:nvPicPr>
        <xdr:cNvPr id="142" name="ID_058D9AF3F81C4C13B8114BBBCFE2856B"/>
        <xdr:cNvPicPr>
          <a:picLocks noChangeAspect="1"/>
        </xdr:cNvPicPr>
      </xdr:nvPicPr>
      <xdr:blipFill>
        <a:blip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260" y="115629690"/>
          <a:ext cx="1292225" cy="1292225"/>
        </a:xfrm>
        <a:prstGeom prst="rect">
          <a:avLst/>
        </a:prstGeom>
      </xdr:spPr>
    </xdr:pic>
  </etc:cellImage>
  <etc:cellImage>
    <xdr:pic>
      <xdr:nvPicPr>
        <xdr:cNvPr id="23" name="ID_52338F201E544E48AEDDA9DC37A0425B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027281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8" name="ID_12194481BBA745F69C3BF03CE7742ED1"/>
        <xdr:cNvPicPr>
          <a:picLocks noChangeAspect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6586475"/>
          <a:ext cx="1352550" cy="846455"/>
        </a:xfrm>
        <a:prstGeom prst="rect">
          <a:avLst/>
        </a:prstGeom>
      </xdr:spPr>
    </xdr:pic>
  </etc:cellImage>
  <etc:cellImage>
    <xdr:pic>
      <xdr:nvPicPr>
        <xdr:cNvPr id="15" name="ID_5CCDB4C95B994BD88DD6A47FBE91477F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215876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2" name="ID_98EA8C4071B840CAAE6705F2E76639A4"/>
        <xdr:cNvPicPr>
          <a:picLocks noChangeAspect="1"/>
        </xdr:cNvPicPr>
      </xdr:nvPicPr>
      <xdr:blipFill>
        <a:blip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82856305"/>
          <a:ext cx="1352550" cy="577850"/>
        </a:xfrm>
        <a:prstGeom prst="rect">
          <a:avLst/>
        </a:prstGeom>
      </xdr:spPr>
    </xdr:pic>
  </etc:cellImage>
  <etc:cellImage>
    <xdr:pic>
      <xdr:nvPicPr>
        <xdr:cNvPr id="25" name="ID_404748C5873E46A0AA58D8650BE13373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781661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B9A633D5E5D047389010D05A16A3452E"/>
        <xdr:cNvPicPr>
          <a:picLocks noChangeAspect="1"/>
        </xdr:cNvPicPr>
      </xdr:nvPicPr>
      <xdr:blipFill>
        <a:blip r:embed="rId22" r:link="rId23"/>
        <a:stretch>
          <a:fillRect/>
        </a:stretch>
      </xdr:blipFill>
      <xdr:spPr>
        <a:xfrm>
          <a:off x="1161415" y="129702560"/>
          <a:ext cx="135255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4" name="ID_E4BFB01129D1484CB2FF83C4B7DE08B5"/>
        <xdr:cNvPicPr>
          <a:picLocks noChangeAspect="1"/>
        </xdr:cNvPicPr>
      </xdr:nvPicPr>
      <xdr:blipFill>
        <a:blip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32551805"/>
          <a:ext cx="1352550" cy="791845"/>
        </a:xfrm>
        <a:prstGeom prst="rect">
          <a:avLst/>
        </a:prstGeom>
      </xdr:spPr>
    </xdr:pic>
  </etc:cellImage>
  <etc:cellImage>
    <xdr:pic>
      <xdr:nvPicPr>
        <xdr:cNvPr id="148" name="ID_A66B7A92884247CFAEB3BF610CBDCFA9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34981315"/>
          <a:ext cx="1352550" cy="783590"/>
        </a:xfrm>
        <a:prstGeom prst="rect">
          <a:avLst/>
        </a:prstGeom>
      </xdr:spPr>
    </xdr:pic>
  </etc:cellImage>
  <etc:cellImage>
    <xdr:pic>
      <xdr:nvPicPr>
        <xdr:cNvPr id="156" name="ID_EDE0B20948394315BC412E58AE009227"/>
        <xdr:cNvPicPr>
          <a:picLocks noChangeAspect="1"/>
        </xdr:cNvPicPr>
      </xdr:nvPicPr>
      <xdr:blipFill>
        <a:blip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37962005"/>
          <a:ext cx="1352550" cy="1014095"/>
        </a:xfrm>
        <a:prstGeom prst="rect">
          <a:avLst/>
        </a:prstGeom>
      </xdr:spPr>
    </xdr:pic>
  </etc:cellImage>
  <etc:cellImage>
    <xdr:pic>
      <xdr:nvPicPr>
        <xdr:cNvPr id="296" name="ID_6AD3BA9A918B439B93EDEEC6B648693F"/>
        <xdr:cNvPicPr>
          <a:picLocks noChangeAspect="1"/>
        </xdr:cNvPicPr>
      </xdr:nvPicPr>
      <xdr:blipFill>
        <a:blip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420" y="251517150"/>
          <a:ext cx="1271905" cy="1133475"/>
        </a:xfrm>
        <a:prstGeom prst="rect">
          <a:avLst/>
        </a:prstGeom>
      </xdr:spPr>
    </xdr:pic>
  </etc:cellImage>
  <etc:cellImage>
    <xdr:pic>
      <xdr:nvPicPr>
        <xdr:cNvPr id="198" name="ID_934F21540472484E96F3F2B06204A926"/>
        <xdr:cNvPicPr>
          <a:picLocks noChangeAspect="1"/>
        </xdr:cNvPicPr>
      </xdr:nvPicPr>
      <xdr:blipFill>
        <a:blip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42229840"/>
          <a:ext cx="1352550" cy="1012825"/>
        </a:xfrm>
        <a:prstGeom prst="rect">
          <a:avLst/>
        </a:prstGeom>
      </xdr:spPr>
    </xdr:pic>
  </etc:cellImage>
  <etc:cellImage>
    <xdr:pic>
      <xdr:nvPicPr>
        <xdr:cNvPr id="216" name="ID_0AD9A30F58D8410AA7E73ABC02F26327"/>
        <xdr:cNvPicPr>
          <a:picLocks noChangeAspect="1"/>
        </xdr:cNvPicPr>
      </xdr:nvPicPr>
      <xdr:blipFill>
        <a:blip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44327880"/>
          <a:ext cx="1352550" cy="1007110"/>
        </a:xfrm>
        <a:prstGeom prst="rect">
          <a:avLst/>
        </a:prstGeom>
      </xdr:spPr>
    </xdr:pic>
  </etc:cellImage>
  <etc:cellImage>
    <xdr:pic>
      <xdr:nvPicPr>
        <xdr:cNvPr id="398" name="ID_AA185BF89CF94A5E8D7ED4D374168416"/>
        <xdr:cNvPicPr>
          <a:picLocks noChangeAspect="1"/>
        </xdr:cNvPicPr>
      </xdr:nvPicPr>
      <xdr:blipFill>
        <a:blip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18618235"/>
          <a:ext cx="1352550" cy="295910"/>
        </a:xfrm>
        <a:prstGeom prst="rect">
          <a:avLst/>
        </a:prstGeom>
      </xdr:spPr>
    </xdr:pic>
  </etc:cellImage>
  <etc:cellImage>
    <xdr:pic>
      <xdr:nvPicPr>
        <xdr:cNvPr id="226" name="ID_2054C8669CE3485CB63CAB23C174E6D1"/>
        <xdr:cNvPicPr>
          <a:picLocks noChangeAspect="1"/>
        </xdr:cNvPicPr>
      </xdr:nvPicPr>
      <xdr:blipFill>
        <a:blip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46423380"/>
          <a:ext cx="1352550" cy="1007110"/>
        </a:xfrm>
        <a:prstGeom prst="rect">
          <a:avLst/>
        </a:prstGeom>
      </xdr:spPr>
    </xdr:pic>
  </etc:cellImage>
  <etc:cellImage>
    <xdr:pic>
      <xdr:nvPicPr>
        <xdr:cNvPr id="238" name="ID_3F513B39C40E472DA6B8EC59527F2015"/>
        <xdr:cNvPicPr>
          <a:picLocks noChangeAspect="1"/>
        </xdr:cNvPicPr>
      </xdr:nvPicPr>
      <xdr:blipFill>
        <a:blip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960" y="211851875"/>
          <a:ext cx="1013460" cy="1137920"/>
        </a:xfrm>
        <a:prstGeom prst="rect">
          <a:avLst/>
        </a:prstGeom>
      </xdr:spPr>
    </xdr:pic>
  </etc:cellImage>
  <etc:cellImage>
    <xdr:pic>
      <xdr:nvPicPr>
        <xdr:cNvPr id="228" name="ID_9880BA2696F5462C86158FAE854F30BB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48518880"/>
          <a:ext cx="1352550" cy="1007110"/>
        </a:xfrm>
        <a:prstGeom prst="rect">
          <a:avLst/>
        </a:prstGeom>
      </xdr:spPr>
    </xdr:pic>
  </etc:cellImage>
  <etc:cellImage>
    <xdr:pic>
      <xdr:nvPicPr>
        <xdr:cNvPr id="162" name="ID_F986AED4396B4D8C9E11B7BFEFB4FE82"/>
        <xdr:cNvPicPr>
          <a:picLocks noChangeAspect="1"/>
        </xdr:cNvPicPr>
      </xdr:nvPicPr>
      <xdr:blipFill>
        <a:blip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2709880"/>
          <a:ext cx="1352550" cy="1007110"/>
        </a:xfrm>
        <a:prstGeom prst="rect">
          <a:avLst/>
        </a:prstGeom>
      </xdr:spPr>
    </xdr:pic>
  </etc:cellImage>
  <etc:cellImage>
    <xdr:pic>
      <xdr:nvPicPr>
        <xdr:cNvPr id="166" name="ID_BBEA8355F14F4B01AFC8F33211F88CC9"/>
        <xdr:cNvPicPr>
          <a:picLocks noChangeAspect="1"/>
        </xdr:cNvPicPr>
      </xdr:nvPicPr>
      <xdr:blipFill>
        <a:blip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4805380"/>
          <a:ext cx="1352550" cy="1007110"/>
        </a:xfrm>
        <a:prstGeom prst="rect">
          <a:avLst/>
        </a:prstGeom>
      </xdr:spPr>
    </xdr:pic>
  </etc:cellImage>
  <etc:cellImage>
    <xdr:pic>
      <xdr:nvPicPr>
        <xdr:cNvPr id="260" name="ID_30BD338538BB4C9E9B1B2A03DE2F58FF"/>
        <xdr:cNvPicPr>
          <a:picLocks noChangeAspect="1"/>
        </xdr:cNvPicPr>
      </xdr:nvPicPr>
      <xdr:blipFill>
        <a:blip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255" y="230383080"/>
          <a:ext cx="864870" cy="1139825"/>
        </a:xfrm>
        <a:prstGeom prst="rect">
          <a:avLst/>
        </a:prstGeom>
      </xdr:spPr>
    </xdr:pic>
  </etc:cellImage>
  <etc:cellImage>
    <xdr:pic>
      <xdr:nvPicPr>
        <xdr:cNvPr id="168" name="ID_F5113133509A474197C51D2F409F1D08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6900880"/>
          <a:ext cx="1352550" cy="1007110"/>
        </a:xfrm>
        <a:prstGeom prst="rect">
          <a:avLst/>
        </a:prstGeom>
      </xdr:spPr>
    </xdr:pic>
  </etc:cellImage>
  <etc:cellImage>
    <xdr:pic>
      <xdr:nvPicPr>
        <xdr:cNvPr id="262" name="ID_EB68EFE7D1514DB9BD51B21B753E07C8"/>
        <xdr:cNvPicPr>
          <a:picLocks noChangeAspect="1"/>
        </xdr:cNvPicPr>
      </xdr:nvPicPr>
      <xdr:blipFill>
        <a:blip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715" y="231910255"/>
          <a:ext cx="1123315" cy="1133475"/>
        </a:xfrm>
        <a:prstGeom prst="rect">
          <a:avLst/>
        </a:prstGeom>
      </xdr:spPr>
    </xdr:pic>
  </etc:cellImage>
  <etc:cellImage>
    <xdr:pic>
      <xdr:nvPicPr>
        <xdr:cNvPr id="170" name="ID_56DDCA208B504119A944A12F5103D26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58996380"/>
          <a:ext cx="1352550" cy="1007110"/>
        </a:xfrm>
        <a:prstGeom prst="rect">
          <a:avLst/>
        </a:prstGeom>
      </xdr:spPr>
    </xdr:pic>
  </etc:cellImage>
  <etc:cellImage>
    <xdr:pic>
      <xdr:nvPicPr>
        <xdr:cNvPr id="172" name="ID_4EC725157C0240D8843F46CE8BA3CA51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61091880"/>
          <a:ext cx="1352550" cy="1007110"/>
        </a:xfrm>
        <a:prstGeom prst="rect">
          <a:avLst/>
        </a:prstGeom>
      </xdr:spPr>
    </xdr:pic>
  </etc:cellImage>
  <etc:cellImage>
    <xdr:pic>
      <xdr:nvPicPr>
        <xdr:cNvPr id="286" name="ID_53F0A46B908F429FB17E592AD1DF5B49"/>
        <xdr:cNvPicPr>
          <a:picLocks noChangeAspect="1"/>
        </xdr:cNvPicPr>
      </xdr:nvPicPr>
      <xdr:blipFill>
        <a:blip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47061355"/>
          <a:ext cx="1352550" cy="1033780"/>
        </a:xfrm>
        <a:prstGeom prst="rect">
          <a:avLst/>
        </a:prstGeom>
      </xdr:spPr>
    </xdr:pic>
  </etc:cellImage>
  <etc:cellImage>
    <xdr:pic>
      <xdr:nvPicPr>
        <xdr:cNvPr id="174" name="ID_9AD03F23CC4942B8BE5F8905C26EAF49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63187380"/>
          <a:ext cx="1352550" cy="1007110"/>
        </a:xfrm>
        <a:prstGeom prst="rect">
          <a:avLst/>
        </a:prstGeom>
      </xdr:spPr>
    </xdr:pic>
  </etc:cellImage>
  <etc:cellImage>
    <xdr:pic>
      <xdr:nvPicPr>
        <xdr:cNvPr id="176" name="ID_5657D26BE47C4B7FAFE12564B7843471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65282880"/>
          <a:ext cx="1352550" cy="1007110"/>
        </a:xfrm>
        <a:prstGeom prst="rect">
          <a:avLst/>
        </a:prstGeom>
      </xdr:spPr>
    </xdr:pic>
  </etc:cellImage>
  <etc:cellImage>
    <xdr:pic>
      <xdr:nvPicPr>
        <xdr:cNvPr id="180" name="ID_899CBEC2406F48168088DE2AB8A6D0D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69473880"/>
          <a:ext cx="1352550" cy="1007110"/>
        </a:xfrm>
        <a:prstGeom prst="rect">
          <a:avLst/>
        </a:prstGeom>
      </xdr:spPr>
    </xdr:pic>
  </etc:cellImage>
  <etc:cellImage>
    <xdr:pic>
      <xdr:nvPicPr>
        <xdr:cNvPr id="184" name="ID_9D980EC5D7BF41DE967C61761EEE1363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73664880"/>
          <a:ext cx="1352550" cy="1007110"/>
        </a:xfrm>
        <a:prstGeom prst="rect">
          <a:avLst/>
        </a:prstGeom>
      </xdr:spPr>
    </xdr:pic>
  </etc:cellImage>
  <etc:cellImage>
    <xdr:pic>
      <xdr:nvPicPr>
        <xdr:cNvPr id="186" name="ID_990FE060D7314C6EA73782ECCDA0DE60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75760380"/>
          <a:ext cx="1352550" cy="1007110"/>
        </a:xfrm>
        <a:prstGeom prst="rect">
          <a:avLst/>
        </a:prstGeom>
      </xdr:spPr>
    </xdr:pic>
  </etc:cellImage>
  <etc:cellImage>
    <xdr:pic>
      <xdr:nvPicPr>
        <xdr:cNvPr id="190" name="ID_676FFEF1F28E42278AC3B433E738557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79951380"/>
          <a:ext cx="1352550" cy="1007110"/>
        </a:xfrm>
        <a:prstGeom prst="rect">
          <a:avLst/>
        </a:prstGeom>
      </xdr:spPr>
    </xdr:pic>
  </etc:cellImage>
  <etc:cellImage>
    <xdr:pic>
      <xdr:nvPicPr>
        <xdr:cNvPr id="192" name="ID_6C7FC32DC4EF4460B0F4DA6FB44F5CC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82046880"/>
          <a:ext cx="1352550" cy="1007110"/>
        </a:xfrm>
        <a:prstGeom prst="rect">
          <a:avLst/>
        </a:prstGeom>
      </xdr:spPr>
    </xdr:pic>
  </etc:cellImage>
  <etc:cellImage>
    <xdr:pic>
      <xdr:nvPicPr>
        <xdr:cNvPr id="194" name="ID_2952A21DC7FE4DD39FBFB1FB98C6264F"/>
        <xdr:cNvPicPr>
          <a:picLocks noChangeAspect="1"/>
        </xdr:cNvPicPr>
      </xdr:nvPicPr>
      <xdr:blipFill>
        <a:blip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84142380"/>
          <a:ext cx="1352550" cy="1007110"/>
        </a:xfrm>
        <a:prstGeom prst="rect">
          <a:avLst/>
        </a:prstGeom>
      </xdr:spPr>
    </xdr:pic>
  </etc:cellImage>
  <etc:cellImage>
    <xdr:pic>
      <xdr:nvPicPr>
        <xdr:cNvPr id="907" name="ID_06AD97484377423AA984CD4CE6CC5373" descr="3.2.01.45.43.0001医疗配药操作地柜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161415" y="188320045"/>
          <a:ext cx="1352550" cy="1033780"/>
        </a:xfrm>
        <a:prstGeom prst="rect">
          <a:avLst/>
        </a:prstGeom>
      </xdr:spPr>
    </xdr:pic>
  </etc:cellImage>
  <etc:cellImage>
    <xdr:pic>
      <xdr:nvPicPr>
        <xdr:cNvPr id="29" name="ID_60BC0D78BB82423480A858F58157AC5B" descr="3.2.01.45.43.0001医疗配药操作地柜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161415" y="190415545"/>
          <a:ext cx="1352550" cy="1033780"/>
        </a:xfrm>
        <a:prstGeom prst="rect">
          <a:avLst/>
        </a:prstGeom>
      </xdr:spPr>
    </xdr:pic>
  </etc:cellImage>
  <etc:cellImage>
    <xdr:pic>
      <xdr:nvPicPr>
        <xdr:cNvPr id="432" name="ID_F9A18EDEA8EE4DEAB3A3689B97B83728"/>
        <xdr:cNvPicPr>
          <a:picLocks noChangeAspect="1"/>
        </xdr:cNvPicPr>
      </xdr:nvPicPr>
      <xdr:blipFill>
        <a:blip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37210400"/>
          <a:ext cx="1352550" cy="558165"/>
        </a:xfrm>
        <a:prstGeom prst="rect">
          <a:avLst/>
        </a:prstGeom>
      </xdr:spPr>
    </xdr:pic>
  </etc:cellImage>
  <etc:cellImage>
    <xdr:pic>
      <xdr:nvPicPr>
        <xdr:cNvPr id="314" name="ID_E0E77A7C3783404D9CFE465C288F78B2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64003155"/>
          <a:ext cx="1352550" cy="948690"/>
        </a:xfrm>
        <a:prstGeom prst="rect">
          <a:avLst/>
        </a:prstGeom>
      </xdr:spPr>
    </xdr:pic>
  </etc:cellImage>
  <etc:cellImage>
    <xdr:pic>
      <xdr:nvPicPr>
        <xdr:cNvPr id="202" name="ID_13DA7D83F3EF4AE1936A7FC400A984D9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4619880"/>
          <a:ext cx="1352550" cy="1007110"/>
        </a:xfrm>
        <a:prstGeom prst="rect">
          <a:avLst/>
        </a:prstGeom>
      </xdr:spPr>
    </xdr:pic>
  </etc:cellImage>
  <etc:cellImage>
    <xdr:pic>
      <xdr:nvPicPr>
        <xdr:cNvPr id="404" name="ID_DEA9F64B002B4CEE9B7C648BFC9F91E0"/>
        <xdr:cNvPicPr>
          <a:picLocks noChangeAspect="1"/>
        </xdr:cNvPicPr>
      </xdr:nvPicPr>
      <xdr:blipFill>
        <a:blip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22719700"/>
          <a:ext cx="1352550" cy="685165"/>
        </a:xfrm>
        <a:prstGeom prst="rect">
          <a:avLst/>
        </a:prstGeom>
      </xdr:spPr>
    </xdr:pic>
  </etc:cellImage>
  <etc:cellImage>
    <xdr:pic>
      <xdr:nvPicPr>
        <xdr:cNvPr id="210" name="ID_91F1CA0317CB424CA1CBCC300E87A88F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8264145"/>
          <a:ext cx="1352550" cy="843280"/>
        </a:xfrm>
        <a:prstGeom prst="rect">
          <a:avLst/>
        </a:prstGeom>
      </xdr:spPr>
    </xdr:pic>
  </etc:cellImage>
  <etc:cellImage>
    <xdr:pic>
      <xdr:nvPicPr>
        <xdr:cNvPr id="214" name="ID_057A8741170E4754BA5A68F1286F8845"/>
        <xdr:cNvPicPr>
          <a:picLocks noChangeAspect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9943085"/>
          <a:ext cx="1352550" cy="838835"/>
        </a:xfrm>
        <a:prstGeom prst="rect">
          <a:avLst/>
        </a:prstGeom>
      </xdr:spPr>
    </xdr:pic>
  </etc:cellImage>
  <etc:cellImage>
    <xdr:pic>
      <xdr:nvPicPr>
        <xdr:cNvPr id="218" name="ID_13823FB1D4AC408BA518675E3B74DD42"/>
        <xdr:cNvPicPr>
          <a:picLocks noChangeAspect="1"/>
        </xdr:cNvPicPr>
      </xdr:nvPicPr>
      <xdr:blipFill>
        <a:blip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01621390"/>
          <a:ext cx="1352550" cy="835025"/>
        </a:xfrm>
        <a:prstGeom prst="rect">
          <a:avLst/>
        </a:prstGeom>
      </xdr:spPr>
    </xdr:pic>
  </etc:cellImage>
  <etc:cellImage>
    <xdr:pic>
      <xdr:nvPicPr>
        <xdr:cNvPr id="31" name="ID_DD19758EA9F141379B3391257B26EE5E"/>
        <xdr:cNvPicPr>
          <a:picLocks noChangeAspect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03191110"/>
          <a:ext cx="1352550" cy="838835"/>
        </a:xfrm>
        <a:prstGeom prst="rect">
          <a:avLst/>
        </a:prstGeom>
      </xdr:spPr>
    </xdr:pic>
  </etc:cellImage>
  <etc:cellImage>
    <xdr:pic>
      <xdr:nvPicPr>
        <xdr:cNvPr id="446" name="ID_DFB6C5C541C44970B6E5261BE52B81B9"/>
        <xdr:cNvPicPr>
          <a:picLocks noChangeAspect="1"/>
        </xdr:cNvPicPr>
      </xdr:nvPicPr>
      <xdr:blipFill>
        <a:blip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45888310"/>
          <a:ext cx="1352550" cy="617220"/>
        </a:xfrm>
        <a:prstGeom prst="rect">
          <a:avLst/>
        </a:prstGeom>
      </xdr:spPr>
    </xdr:pic>
  </etc:cellImage>
  <etc:cellImage>
    <xdr:pic>
      <xdr:nvPicPr>
        <xdr:cNvPr id="298" name="ID_4916F5FC007C46C789D311ABDA76D9E1"/>
        <xdr:cNvPicPr>
          <a:picLocks noChangeAspect="1"/>
        </xdr:cNvPicPr>
      </xdr:nvPicPr>
      <xdr:blipFill>
        <a:blip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340" y="252836045"/>
          <a:ext cx="774700" cy="1139825"/>
        </a:xfrm>
        <a:prstGeom prst="rect">
          <a:avLst/>
        </a:prstGeom>
      </xdr:spPr>
    </xdr:pic>
  </etc:cellImage>
  <etc:cellImage>
    <xdr:pic>
      <xdr:nvPicPr>
        <xdr:cNvPr id="220" name="ID_07A13D47E5854895B29329C68A7358FA"/>
        <xdr:cNvPicPr>
          <a:picLocks noChangeAspect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04657960"/>
          <a:ext cx="1352550" cy="838835"/>
        </a:xfrm>
        <a:prstGeom prst="rect">
          <a:avLst/>
        </a:prstGeom>
      </xdr:spPr>
    </xdr:pic>
  </etc:cellImage>
  <etc:cellImage>
    <xdr:pic>
      <xdr:nvPicPr>
        <xdr:cNvPr id="474" name="ID_C2927EF332CA4D18B2A8BA137C93BBFC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315" y="361784900"/>
          <a:ext cx="1174750" cy="1137920"/>
        </a:xfrm>
        <a:prstGeom prst="rect">
          <a:avLst/>
        </a:prstGeom>
      </xdr:spPr>
    </xdr:pic>
  </etc:cellImage>
  <etc:cellImage>
    <xdr:pic>
      <xdr:nvPicPr>
        <xdr:cNvPr id="224" name="ID_B94AD62415E64EAFBC78A6E5D1844FA0"/>
        <xdr:cNvPicPr>
          <a:picLocks noChangeAspect="1"/>
        </xdr:cNvPicPr>
      </xdr:nvPicPr>
      <xdr:blipFill>
        <a:blip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07907890"/>
          <a:ext cx="1352550" cy="835025"/>
        </a:xfrm>
        <a:prstGeom prst="rect">
          <a:avLst/>
        </a:prstGeom>
      </xdr:spPr>
    </xdr:pic>
  </etc:cellImage>
  <etc:cellImage>
    <xdr:pic>
      <xdr:nvPicPr>
        <xdr:cNvPr id="677" name="ID_24CCE351A0E1456EABE5541C7C254450"/>
        <xdr:cNvPicPr>
          <a:picLocks noChangeAspect="1"/>
        </xdr:cNvPicPr>
      </xdr:nvPicPr>
      <xdr:blipFill>
        <a:blip r:embed="rId96" r:link="rId23"/>
        <a:stretch>
          <a:fillRect/>
        </a:stretch>
      </xdr:blipFill>
      <xdr:spPr>
        <a:xfrm>
          <a:off x="1257935" y="209337910"/>
          <a:ext cx="1158875" cy="1831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3" name="ID_7A1B6ED0B4A74E048F6F6A18B49D9175" descr="3.2.11.44.12.0004医疗鞋柜-12门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161415" y="213650195"/>
          <a:ext cx="1352550" cy="1383665"/>
        </a:xfrm>
        <a:prstGeom prst="rect">
          <a:avLst/>
        </a:prstGeom>
      </xdr:spPr>
    </xdr:pic>
  </etc:cellImage>
  <etc:cellImage>
    <xdr:pic>
      <xdr:nvPicPr>
        <xdr:cNvPr id="242" name="ID_7D479F1EE4ED4242AF65CDB9179CF30B"/>
        <xdr:cNvPicPr>
          <a:picLocks noChangeAspect="1"/>
        </xdr:cNvPicPr>
      </xdr:nvPicPr>
      <xdr:blipFill>
        <a:blip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805" y="215414860"/>
          <a:ext cx="699770" cy="1206500"/>
        </a:xfrm>
        <a:prstGeom prst="rect">
          <a:avLst/>
        </a:prstGeom>
      </xdr:spPr>
    </xdr:pic>
  </etc:cellImage>
  <etc:cellImage>
    <xdr:pic>
      <xdr:nvPicPr>
        <xdr:cNvPr id="246" name="ID_14370B8B4ADA45D2B9999F0B5EA85808"/>
        <xdr:cNvPicPr>
          <a:picLocks noChangeAspect="1"/>
        </xdr:cNvPicPr>
      </xdr:nvPicPr>
      <xdr:blipFill>
        <a:blip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" y="218801315"/>
          <a:ext cx="1050290" cy="1139825"/>
        </a:xfrm>
        <a:prstGeom prst="rect">
          <a:avLst/>
        </a:prstGeom>
      </xdr:spPr>
    </xdr:pic>
  </etc:cellImage>
  <etc:cellImage>
    <xdr:pic>
      <xdr:nvPicPr>
        <xdr:cNvPr id="250" name="ID_D9D3B5D9F3974922817379C22E9B9695"/>
        <xdr:cNvPicPr>
          <a:picLocks noChangeAspect="1"/>
        </xdr:cNvPicPr>
      </xdr:nvPicPr>
      <xdr:blipFill>
        <a:blip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235" y="222154115"/>
          <a:ext cx="676910" cy="1139825"/>
        </a:xfrm>
        <a:prstGeom prst="rect">
          <a:avLst/>
        </a:prstGeom>
      </xdr:spPr>
    </xdr:pic>
  </etc:cellImage>
  <etc:cellImage>
    <xdr:pic>
      <xdr:nvPicPr>
        <xdr:cNvPr id="438" name="ID_B130F6D2FA6049168271ABCAF9289C44"/>
        <xdr:cNvPicPr>
          <a:picLocks noChangeAspect="1"/>
        </xdr:cNvPicPr>
      </xdr:nvPicPr>
      <xdr:blipFill>
        <a:blip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41190580"/>
          <a:ext cx="1352550" cy="941705"/>
        </a:xfrm>
        <a:prstGeom prst="rect">
          <a:avLst/>
        </a:prstGeom>
      </xdr:spPr>
    </xdr:pic>
  </etc:cellImage>
  <etc:cellImage>
    <xdr:pic>
      <xdr:nvPicPr>
        <xdr:cNvPr id="306" name="ID_ED8CB552F7D742D3BD8113197EAD62F0"/>
        <xdr:cNvPicPr>
          <a:picLocks noChangeAspect="1"/>
        </xdr:cNvPicPr>
      </xdr:nvPicPr>
      <xdr:blipFill>
        <a:blip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360" y="259511800"/>
          <a:ext cx="708025" cy="1133475"/>
        </a:xfrm>
        <a:prstGeom prst="rect">
          <a:avLst/>
        </a:prstGeom>
      </xdr:spPr>
    </xdr:pic>
  </etc:cellImage>
  <etc:cellImage>
    <xdr:pic>
      <xdr:nvPicPr>
        <xdr:cNvPr id="498" name="ID_77AAC92F509145CBA2C044CEE661689F"/>
        <xdr:cNvPicPr>
          <a:picLocks noChangeAspect="1"/>
        </xdr:cNvPicPr>
      </xdr:nvPicPr>
      <xdr:blipFill>
        <a:blip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635" y="366140365"/>
          <a:ext cx="626110" cy="1019175"/>
        </a:xfrm>
        <a:prstGeom prst="rect">
          <a:avLst/>
        </a:prstGeom>
      </xdr:spPr>
    </xdr:pic>
  </etc:cellImage>
  <etc:cellImage>
    <xdr:pic>
      <xdr:nvPicPr>
        <xdr:cNvPr id="256" name="ID_432DA8E8E47A4CABACDBC79669D64AD9"/>
        <xdr:cNvPicPr>
          <a:picLocks noChangeAspect="1"/>
        </xdr:cNvPicPr>
      </xdr:nvPicPr>
      <xdr:blipFill>
        <a:blip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226465765"/>
          <a:ext cx="760730" cy="1137920"/>
        </a:xfrm>
        <a:prstGeom prst="rect">
          <a:avLst/>
        </a:prstGeom>
      </xdr:spPr>
    </xdr:pic>
  </etc:cellImage>
  <etc:cellImage>
    <xdr:pic>
      <xdr:nvPicPr>
        <xdr:cNvPr id="266" name="ID_D86704BC2123467F8680CDCE74F8B5D5"/>
        <xdr:cNvPicPr>
          <a:picLocks noChangeAspect="1"/>
        </xdr:cNvPicPr>
      </xdr:nvPicPr>
      <xdr:blipFill>
        <a:blip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35546265"/>
          <a:ext cx="1352550" cy="715645"/>
        </a:xfrm>
        <a:prstGeom prst="rect">
          <a:avLst/>
        </a:prstGeom>
      </xdr:spPr>
    </xdr:pic>
  </etc:cellImage>
  <etc:cellImage>
    <xdr:pic>
      <xdr:nvPicPr>
        <xdr:cNvPr id="270" name="ID_D518F3A1B08C4329BC7C8CC7BA7C68FC"/>
        <xdr:cNvPicPr>
          <a:picLocks noChangeAspect="1"/>
        </xdr:cNvPicPr>
      </xdr:nvPicPr>
      <xdr:blipFill>
        <a:blip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39081310"/>
          <a:ext cx="1352550" cy="906780"/>
        </a:xfrm>
        <a:prstGeom prst="rect">
          <a:avLst/>
        </a:prstGeom>
      </xdr:spPr>
    </xdr:pic>
  </etc:cellImage>
  <etc:cellImage>
    <xdr:pic>
      <xdr:nvPicPr>
        <xdr:cNvPr id="434" name="ID_1F6F775308B14C01824D10517828BC54"/>
        <xdr:cNvPicPr>
          <a:picLocks noChangeAspect="1"/>
        </xdr:cNvPicPr>
      </xdr:nvPicPr>
      <xdr:blipFill>
        <a:blip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0" y="338386420"/>
          <a:ext cx="1173480" cy="1139825"/>
        </a:xfrm>
        <a:prstGeom prst="rect">
          <a:avLst/>
        </a:prstGeom>
      </xdr:spPr>
    </xdr:pic>
  </etc:cellImage>
  <etc:cellImage>
    <xdr:pic>
      <xdr:nvPicPr>
        <xdr:cNvPr id="274" name="ID_96356B27CA134E1B9E453A43B76722AF"/>
        <xdr:cNvPicPr>
          <a:picLocks noChangeAspect="1"/>
        </xdr:cNvPicPr>
      </xdr:nvPicPr>
      <xdr:blipFill>
        <a:blip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" y="240490375"/>
          <a:ext cx="748665" cy="819150"/>
        </a:xfrm>
        <a:prstGeom prst="rect">
          <a:avLst/>
        </a:prstGeom>
      </xdr:spPr>
    </xdr:pic>
  </etc:cellImage>
  <etc:cellImage>
    <xdr:pic>
      <xdr:nvPicPr>
        <xdr:cNvPr id="276" name="ID_210C95660EAF41FAB0ED3BCA263529B2"/>
        <xdr:cNvPicPr>
          <a:picLocks noChangeAspect="1"/>
        </xdr:cNvPicPr>
      </xdr:nvPicPr>
      <xdr:blipFill>
        <a:blip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735" y="241595910"/>
          <a:ext cx="549910" cy="1137920"/>
        </a:xfrm>
        <a:prstGeom prst="rect">
          <a:avLst/>
        </a:prstGeom>
      </xdr:spPr>
    </xdr:pic>
  </etc:cellImage>
  <etc:cellImage>
    <xdr:pic>
      <xdr:nvPicPr>
        <xdr:cNvPr id="284" name="ID_52B73892178A49399FD5549CCB171D47"/>
        <xdr:cNvPicPr>
          <a:picLocks noChangeAspect="1"/>
        </xdr:cNvPicPr>
      </xdr:nvPicPr>
      <xdr:blipFill>
        <a:blip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45655465"/>
          <a:ext cx="1352550" cy="668020"/>
        </a:xfrm>
        <a:prstGeom prst="rect">
          <a:avLst/>
        </a:prstGeom>
      </xdr:spPr>
    </xdr:pic>
  </etc:cellImage>
  <etc:cellImage>
    <xdr:pic>
      <xdr:nvPicPr>
        <xdr:cNvPr id="288" name="ID_D13CA21239FF4F8CAD6EAF523CE77989"/>
        <xdr:cNvPicPr>
          <a:picLocks noChangeAspect="1"/>
        </xdr:cNvPicPr>
      </xdr:nvPicPr>
      <xdr:blipFill>
        <a:blip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48736485"/>
          <a:ext cx="1352550" cy="808355"/>
        </a:xfrm>
        <a:prstGeom prst="rect">
          <a:avLst/>
        </a:prstGeom>
      </xdr:spPr>
    </xdr:pic>
  </etc:cellImage>
  <etc:cellImage>
    <xdr:pic>
      <xdr:nvPicPr>
        <xdr:cNvPr id="312" name="ID_1849A33A7C3A40E5B21C267ADC2C2DFF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262441055"/>
          <a:ext cx="1179830" cy="1139825"/>
        </a:xfrm>
        <a:prstGeom prst="rect">
          <a:avLst/>
        </a:prstGeom>
      </xdr:spPr>
    </xdr:pic>
  </etc:cellImage>
  <etc:cellImage>
    <xdr:pic>
      <xdr:nvPicPr>
        <xdr:cNvPr id="320" name="ID_A139D5B821F94A45A5B8956353445DC6"/>
        <xdr:cNvPicPr>
          <a:picLocks noChangeAspect="1"/>
        </xdr:cNvPicPr>
      </xdr:nvPicPr>
      <xdr:blipFill>
        <a:blip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265355705"/>
          <a:ext cx="612140" cy="1139825"/>
        </a:xfrm>
        <a:prstGeom prst="rect">
          <a:avLst/>
        </a:prstGeom>
      </xdr:spPr>
    </xdr:pic>
  </etc:cellImage>
  <etc:cellImage>
    <xdr:pic>
      <xdr:nvPicPr>
        <xdr:cNvPr id="322" name="ID_3F64269947854B4E800091DBCF42EDD4"/>
        <xdr:cNvPicPr>
          <a:picLocks noChangeAspect="1"/>
        </xdr:cNvPicPr>
      </xdr:nvPicPr>
      <xdr:blipFill>
        <a:blip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67344525"/>
          <a:ext cx="1352550" cy="756285"/>
        </a:xfrm>
        <a:prstGeom prst="rect">
          <a:avLst/>
        </a:prstGeom>
      </xdr:spPr>
    </xdr:pic>
  </etc:cellImage>
  <etc:cellImage>
    <xdr:pic>
      <xdr:nvPicPr>
        <xdr:cNvPr id="324" name="ID_7499DB660436463FAC410FD079BC5DA4"/>
        <xdr:cNvPicPr>
          <a:picLocks noChangeAspect="1"/>
        </xdr:cNvPicPr>
      </xdr:nvPicPr>
      <xdr:blipFill>
        <a:blip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69179675"/>
          <a:ext cx="1352550" cy="965200"/>
        </a:xfrm>
        <a:prstGeom prst="rect">
          <a:avLst/>
        </a:prstGeom>
      </xdr:spPr>
    </xdr:pic>
  </etc:cellImage>
  <etc:cellImage>
    <xdr:pic>
      <xdr:nvPicPr>
        <xdr:cNvPr id="37" name="ID_912212117D884FE8A9E62E2DAFC0B2C6"/>
        <xdr:cNvPicPr>
          <a:picLocks noChangeAspect="1"/>
        </xdr:cNvPicPr>
      </xdr:nvPicPr>
      <xdr:blipFill>
        <a:blip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71000220"/>
          <a:ext cx="1352550" cy="753745"/>
        </a:xfrm>
        <a:prstGeom prst="rect">
          <a:avLst/>
        </a:prstGeom>
      </xdr:spPr>
    </xdr:pic>
  </etc:cellImage>
  <etc:cellImage>
    <xdr:pic>
      <xdr:nvPicPr>
        <xdr:cNvPr id="39" name="ID_8E6EE0E4ED9D471393D97F6524E4F6C1"/>
        <xdr:cNvPicPr>
          <a:picLocks noChangeAspect="1"/>
        </xdr:cNvPicPr>
      </xdr:nvPicPr>
      <xdr:blipFill>
        <a:blip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805" y="272248630"/>
          <a:ext cx="699135" cy="1133475"/>
        </a:xfrm>
        <a:prstGeom prst="rect">
          <a:avLst/>
        </a:prstGeom>
      </xdr:spPr>
    </xdr:pic>
  </etc:cellImage>
  <etc:cellImage>
    <xdr:pic>
      <xdr:nvPicPr>
        <xdr:cNvPr id="422" name="ID_760B97CA2772468B94C6F29D921023E7"/>
        <xdr:cNvPicPr>
          <a:picLocks noChangeAspect="1"/>
        </xdr:cNvPicPr>
      </xdr:nvPicPr>
      <xdr:blipFill>
        <a:blip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695" y="327972420"/>
          <a:ext cx="427990" cy="1139825"/>
        </a:xfrm>
        <a:prstGeom prst="rect">
          <a:avLst/>
        </a:prstGeom>
      </xdr:spPr>
    </xdr:pic>
  </etc:cellImage>
  <etc:cellImage>
    <xdr:pic>
      <xdr:nvPicPr>
        <xdr:cNvPr id="336" name="ID_B8AA41B0AFBD402AB0EBF71323563502"/>
        <xdr:cNvPicPr>
          <a:picLocks noChangeAspect="1"/>
        </xdr:cNvPicPr>
      </xdr:nvPicPr>
      <xdr:blipFill>
        <a:blip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095" y="279641300"/>
          <a:ext cx="1139190" cy="1140460"/>
        </a:xfrm>
        <a:prstGeom prst="rect">
          <a:avLst/>
        </a:prstGeom>
      </xdr:spPr>
    </xdr:pic>
  </etc:cellImage>
  <etc:cellImage>
    <xdr:pic>
      <xdr:nvPicPr>
        <xdr:cNvPr id="340" name="ID_7FE84BCA854D49B399AD182025DFF2E8"/>
        <xdr:cNvPicPr>
          <a:picLocks noChangeAspect="1"/>
        </xdr:cNvPicPr>
      </xdr:nvPicPr>
      <xdr:blipFill>
        <a:blip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81390725"/>
          <a:ext cx="1352550" cy="575310"/>
        </a:xfrm>
        <a:prstGeom prst="rect">
          <a:avLst/>
        </a:prstGeom>
      </xdr:spPr>
    </xdr:pic>
  </etc:cellImage>
  <etc:cellImage>
    <xdr:pic>
      <xdr:nvPicPr>
        <xdr:cNvPr id="424" name="ID_86A66FD19D8043AAB0B0436B5B9712AC"/>
        <xdr:cNvPicPr>
          <a:picLocks noChangeAspect="1"/>
        </xdr:cNvPicPr>
      </xdr:nvPicPr>
      <xdr:blipFill>
        <a:blip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085" y="331261720"/>
          <a:ext cx="791210" cy="1139825"/>
        </a:xfrm>
        <a:prstGeom prst="rect">
          <a:avLst/>
        </a:prstGeom>
      </xdr:spPr>
    </xdr:pic>
  </etc:cellImage>
  <etc:cellImage>
    <xdr:pic>
      <xdr:nvPicPr>
        <xdr:cNvPr id="344" name="ID_3218F9E84DF243B39412106E87337073"/>
        <xdr:cNvPicPr>
          <a:picLocks noChangeAspect="1"/>
        </xdr:cNvPicPr>
      </xdr:nvPicPr>
      <xdr:blipFill>
        <a:blip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560" y="284071060"/>
          <a:ext cx="1064260" cy="1139825"/>
        </a:xfrm>
        <a:prstGeom prst="rect">
          <a:avLst/>
        </a:prstGeom>
      </xdr:spPr>
    </xdr:pic>
  </etc:cellImage>
  <etc:cellImage>
    <xdr:pic>
      <xdr:nvPicPr>
        <xdr:cNvPr id="426" name="ID_FC8F220166D149C2AA44A3AC6212DFE5"/>
        <xdr:cNvPicPr>
          <a:picLocks noChangeAspect="1"/>
        </xdr:cNvPicPr>
      </xdr:nvPicPr>
      <xdr:blipFill>
        <a:blip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33136240"/>
          <a:ext cx="1352550" cy="533400"/>
        </a:xfrm>
        <a:prstGeom prst="rect">
          <a:avLst/>
        </a:prstGeom>
      </xdr:spPr>
    </xdr:pic>
  </etc:cellImage>
  <etc:cellImage>
    <xdr:pic>
      <xdr:nvPicPr>
        <xdr:cNvPr id="346" name="ID_D817697A0EC344B392C98A11607EED48"/>
        <xdr:cNvPicPr>
          <a:picLocks noChangeAspect="1"/>
        </xdr:cNvPicPr>
      </xdr:nvPicPr>
      <xdr:blipFill>
        <a:blip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86262445"/>
          <a:ext cx="1352550" cy="375920"/>
        </a:xfrm>
        <a:prstGeom prst="rect">
          <a:avLst/>
        </a:prstGeom>
      </xdr:spPr>
    </xdr:pic>
  </etc:cellImage>
  <etc:cellImage>
    <xdr:pic>
      <xdr:nvPicPr>
        <xdr:cNvPr id="354" name="ID_55444AF12A094AAAAFACE39BDB46F2D7"/>
        <xdr:cNvPicPr>
          <a:picLocks noChangeAspect="1"/>
        </xdr:cNvPicPr>
      </xdr:nvPicPr>
      <xdr:blipFill>
        <a:blip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88382075"/>
          <a:ext cx="1352550" cy="1510030"/>
        </a:xfrm>
        <a:prstGeom prst="rect">
          <a:avLst/>
        </a:prstGeom>
      </xdr:spPr>
    </xdr:pic>
  </etc:cellImage>
  <etc:cellImage>
    <xdr:pic>
      <xdr:nvPicPr>
        <xdr:cNvPr id="356" name="ID_99BDF196C1D443F1B3D28DF4CCEAA773"/>
        <xdr:cNvPicPr>
          <a:picLocks noChangeAspect="1"/>
        </xdr:cNvPicPr>
      </xdr:nvPicPr>
      <xdr:blipFill>
        <a:blip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870" y="290417885"/>
          <a:ext cx="675640" cy="1139825"/>
        </a:xfrm>
        <a:prstGeom prst="rect">
          <a:avLst/>
        </a:prstGeom>
      </xdr:spPr>
    </xdr:pic>
  </etc:cellImage>
  <etc:cellImage>
    <xdr:pic>
      <xdr:nvPicPr>
        <xdr:cNvPr id="358" name="ID_293912FE902F415FA765A3EDC91EA4B0"/>
        <xdr:cNvPicPr>
          <a:picLocks noChangeAspect="1"/>
        </xdr:cNvPicPr>
      </xdr:nvPicPr>
      <xdr:blipFill>
        <a:blip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710" y="292408610"/>
          <a:ext cx="695960" cy="1139825"/>
        </a:xfrm>
        <a:prstGeom prst="rect">
          <a:avLst/>
        </a:prstGeom>
      </xdr:spPr>
    </xdr:pic>
  </etc:cellImage>
  <etc:cellImage>
    <xdr:pic>
      <xdr:nvPicPr>
        <xdr:cNvPr id="362" name="ID_8AB244724ABC4BA98D70B6DE79EBB8E8"/>
        <xdr:cNvPicPr>
          <a:picLocks noChangeAspect="1"/>
        </xdr:cNvPicPr>
      </xdr:nvPicPr>
      <xdr:blipFill>
        <a:blip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470" y="295550590"/>
          <a:ext cx="472440" cy="1137920"/>
        </a:xfrm>
        <a:prstGeom prst="rect">
          <a:avLst/>
        </a:prstGeom>
      </xdr:spPr>
    </xdr:pic>
  </etc:cellImage>
  <etc:cellImage>
    <xdr:pic>
      <xdr:nvPicPr>
        <xdr:cNvPr id="384" name="ID_B41E80B3D5184BFE934508FDAED1F641"/>
        <xdr:cNvPicPr>
          <a:picLocks noChangeAspect="1"/>
        </xdr:cNvPicPr>
      </xdr:nvPicPr>
      <xdr:blipFill>
        <a:blip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309919370"/>
          <a:ext cx="627380" cy="1139825"/>
        </a:xfrm>
        <a:prstGeom prst="rect">
          <a:avLst/>
        </a:prstGeom>
      </xdr:spPr>
    </xdr:pic>
  </etc:cellImage>
  <etc:cellImage>
    <xdr:pic>
      <xdr:nvPicPr>
        <xdr:cNvPr id="847" name="ID_A37A251C06D74786A011854D072714D8"/>
        <xdr:cNvPicPr>
          <a:picLocks noChangeAspect="1"/>
        </xdr:cNvPicPr>
      </xdr:nvPicPr>
      <xdr:blipFill>
        <a:blip r:embed="rId128" r:link="rId23"/>
        <a:srcRect l="24184" r="30711"/>
        <a:stretch>
          <a:fillRect/>
        </a:stretch>
      </xdr:blipFill>
      <xdr:spPr>
        <a:xfrm>
          <a:off x="1187450" y="311656095"/>
          <a:ext cx="1299845" cy="2066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78" name="ID_58FF1D61B2D04057B36D9EE7389480A5"/>
        <xdr:cNvPicPr>
          <a:picLocks noChangeAspect="1"/>
        </xdr:cNvPicPr>
      </xdr:nvPicPr>
      <xdr:blipFill>
        <a:blip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15" y="364613190"/>
          <a:ext cx="920750" cy="1139825"/>
        </a:xfrm>
        <a:prstGeom prst="rect">
          <a:avLst/>
        </a:prstGeom>
      </xdr:spPr>
    </xdr:pic>
  </etc:cellImage>
  <etc:cellImage>
    <xdr:pic>
      <xdr:nvPicPr>
        <xdr:cNvPr id="402" name="ID_DB3DDFDFE560464781BE133E4D2F1085"/>
        <xdr:cNvPicPr>
          <a:picLocks noChangeAspect="1"/>
        </xdr:cNvPicPr>
      </xdr:nvPicPr>
      <xdr:blipFill>
        <a:blip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140" y="320920745"/>
          <a:ext cx="419100" cy="1139825"/>
        </a:xfrm>
        <a:prstGeom prst="rect">
          <a:avLst/>
        </a:prstGeom>
      </xdr:spPr>
    </xdr:pic>
  </etc:cellImage>
  <etc:cellImage>
    <xdr:pic>
      <xdr:nvPicPr>
        <xdr:cNvPr id="406" name="ID_5F9D9FAE73D640818BFFC302BD37F9F6"/>
        <xdr:cNvPicPr>
          <a:picLocks noChangeAspect="1"/>
        </xdr:cNvPicPr>
      </xdr:nvPicPr>
      <xdr:blipFill>
        <a:blip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970" y="324082410"/>
          <a:ext cx="599440" cy="1140460"/>
        </a:xfrm>
        <a:prstGeom prst="rect">
          <a:avLst/>
        </a:prstGeom>
      </xdr:spPr>
    </xdr:pic>
  </etc:cellImage>
  <etc:cellImage>
    <xdr:pic>
      <xdr:nvPicPr>
        <xdr:cNvPr id="408" name="ID_DAE276335C0244739113EA7F03B879FD"/>
        <xdr:cNvPicPr>
          <a:picLocks noChangeAspect="1"/>
        </xdr:cNvPicPr>
      </xdr:nvPicPr>
      <xdr:blipFill>
        <a:blip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530" y="326087740"/>
          <a:ext cx="782320" cy="1139825"/>
        </a:xfrm>
        <a:prstGeom prst="rect">
          <a:avLst/>
        </a:prstGeom>
      </xdr:spPr>
    </xdr:pic>
  </etc:cellImage>
  <etc:cellImage>
    <xdr:pic>
      <xdr:nvPicPr>
        <xdr:cNvPr id="43" name="ID_9AB765596ADA4418A712795487051573"/>
        <xdr:cNvPicPr>
          <a:picLocks noChangeAspect="1"/>
        </xdr:cNvPicPr>
      </xdr:nvPicPr>
      <xdr:blipFill>
        <a:blip r:embed="rId133" r:link="rId23"/>
        <a:stretch>
          <a:fillRect/>
        </a:stretch>
      </xdr:blipFill>
      <xdr:spPr>
        <a:xfrm>
          <a:off x="1417955" y="329290045"/>
          <a:ext cx="838835" cy="1581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8" name="ID_C3255CD7BAF443DC930A10D723B7B0B5"/>
        <xdr:cNvPicPr>
          <a:picLocks noChangeAspect="1"/>
        </xdr:cNvPicPr>
      </xdr:nvPicPr>
      <xdr:blipFill>
        <a:blip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34394810"/>
          <a:ext cx="1352550" cy="530860"/>
        </a:xfrm>
        <a:prstGeom prst="rect">
          <a:avLst/>
        </a:prstGeom>
      </xdr:spPr>
    </xdr:pic>
  </etc:cellImage>
  <etc:cellImage>
    <xdr:pic>
      <xdr:nvPicPr>
        <xdr:cNvPr id="430" name="ID_A0BD4DD43A87499B81DBB68727BEB137"/>
        <xdr:cNvPicPr>
          <a:picLocks noChangeAspect="1"/>
        </xdr:cNvPicPr>
      </xdr:nvPicPr>
      <xdr:blipFill>
        <a:blip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980" y="335453355"/>
          <a:ext cx="1201420" cy="1137920"/>
        </a:xfrm>
        <a:prstGeom prst="rect">
          <a:avLst/>
        </a:prstGeom>
      </xdr:spPr>
    </xdr:pic>
  </etc:cellImage>
  <etc:cellImage>
    <xdr:pic>
      <xdr:nvPicPr>
        <xdr:cNvPr id="436" name="ID_20EA608E7E5A45F0867F5CFC08ADD6E4"/>
        <xdr:cNvPicPr>
          <a:picLocks noChangeAspect="1"/>
        </xdr:cNvPicPr>
      </xdr:nvPicPr>
      <xdr:blipFill>
        <a:blip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290" y="339853270"/>
          <a:ext cx="1320800" cy="1139825"/>
        </a:xfrm>
        <a:prstGeom prst="rect">
          <a:avLst/>
        </a:prstGeom>
      </xdr:spPr>
    </xdr:pic>
  </etc:cellImage>
  <etc:cellImage>
    <xdr:pic>
      <xdr:nvPicPr>
        <xdr:cNvPr id="442" name="ID_2867B4C53A3C4115B560EC63443C0BFB"/>
        <xdr:cNvPicPr>
          <a:picLocks noChangeAspect="1"/>
        </xdr:cNvPicPr>
      </xdr:nvPicPr>
      <xdr:blipFill>
        <a:blip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990" y="343348310"/>
          <a:ext cx="532765" cy="1133475"/>
        </a:xfrm>
        <a:prstGeom prst="rect">
          <a:avLst/>
        </a:prstGeom>
      </xdr:spPr>
    </xdr:pic>
  </etc:cellImage>
  <etc:cellImage>
    <xdr:pic>
      <xdr:nvPicPr>
        <xdr:cNvPr id="444" name="ID_A43EC94F9A6E4A678EA525737C28497C"/>
        <xdr:cNvPicPr>
          <a:picLocks noChangeAspect="1"/>
        </xdr:cNvPicPr>
      </xdr:nvPicPr>
      <xdr:blipFill>
        <a:blip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05" y="344517980"/>
          <a:ext cx="572770" cy="1133475"/>
        </a:xfrm>
        <a:prstGeom prst="rect">
          <a:avLst/>
        </a:prstGeom>
      </xdr:spPr>
    </xdr:pic>
  </etc:cellImage>
  <etc:cellImage>
    <xdr:pic>
      <xdr:nvPicPr>
        <xdr:cNvPr id="448" name="ID_D02B0238E95C416BB00D73523632E0C4"/>
        <xdr:cNvPicPr>
          <a:picLocks noChangeAspect="1"/>
        </xdr:cNvPicPr>
      </xdr:nvPicPr>
      <xdr:blipFill>
        <a:blip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46756355"/>
          <a:ext cx="1352550" cy="767080"/>
        </a:xfrm>
        <a:prstGeom prst="rect">
          <a:avLst/>
        </a:prstGeom>
      </xdr:spPr>
    </xdr:pic>
  </etc:cellImage>
  <etc:cellImage>
    <xdr:pic>
      <xdr:nvPicPr>
        <xdr:cNvPr id="452" name="ID_26E57B49B01C42BC9ABE6DBBEBF2442F"/>
        <xdr:cNvPicPr>
          <a:picLocks noChangeAspect="1"/>
        </xdr:cNvPicPr>
      </xdr:nvPicPr>
      <xdr:blipFill>
        <a:blip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685" y="349195390"/>
          <a:ext cx="842010" cy="1133475"/>
        </a:xfrm>
        <a:prstGeom prst="rect">
          <a:avLst/>
        </a:prstGeom>
      </xdr:spPr>
    </xdr:pic>
  </etc:cellImage>
  <etc:cellImage>
    <xdr:pic>
      <xdr:nvPicPr>
        <xdr:cNvPr id="460" name="ID_E5D2A2C5BCE8445899B6132FE2C20238"/>
        <xdr:cNvPicPr>
          <a:picLocks noChangeAspect="1"/>
        </xdr:cNvPicPr>
      </xdr:nvPicPr>
      <xdr:blipFill>
        <a:blip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50382840"/>
          <a:ext cx="1352550" cy="843915"/>
        </a:xfrm>
        <a:prstGeom prst="rect">
          <a:avLst/>
        </a:prstGeom>
      </xdr:spPr>
    </xdr:pic>
  </etc:cellImage>
  <etc:cellImage>
    <xdr:pic>
      <xdr:nvPicPr>
        <xdr:cNvPr id="472" name="ID_0AC36F2D3D7B43EB839BCB6CAD37B888"/>
        <xdr:cNvPicPr>
          <a:picLocks noChangeAspect="1"/>
        </xdr:cNvPicPr>
      </xdr:nvPicPr>
      <xdr:blipFill>
        <a:blip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840" y="360420920"/>
          <a:ext cx="647700" cy="1141730"/>
        </a:xfrm>
        <a:prstGeom prst="rect">
          <a:avLst/>
        </a:prstGeom>
      </xdr:spPr>
    </xdr:pic>
  </etc:cellImage>
  <etc:cellImage>
    <xdr:pic>
      <xdr:nvPicPr>
        <xdr:cNvPr id="88" name="ID_15EF542BAAA24E2A8009C42C1C251E28"/>
        <xdr:cNvPicPr>
          <a:picLocks noChangeAspect="1"/>
        </xdr:cNvPicPr>
      </xdr:nvPicPr>
      <xdr:blipFill>
        <a:blip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2313920"/>
          <a:ext cx="1352550" cy="948690"/>
        </a:xfrm>
        <a:prstGeom prst="rect">
          <a:avLst/>
        </a:prstGeom>
      </xdr:spPr>
    </xdr:pic>
  </etc:cellImage>
  <etc:cellImage>
    <xdr:pic>
      <xdr:nvPicPr>
        <xdr:cNvPr id="86" name="ID_B33FB69258C545EDB96E472688F1FBAB"/>
        <xdr:cNvPicPr>
          <a:picLocks noChangeAspect="1"/>
        </xdr:cNvPicPr>
      </xdr:nvPicPr>
      <xdr:blipFill>
        <a:blip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1057255"/>
          <a:ext cx="1352550" cy="948055"/>
        </a:xfrm>
        <a:prstGeom prst="rect">
          <a:avLst/>
        </a:prstGeom>
      </xdr:spPr>
    </xdr:pic>
  </etc:cellImage>
  <etc:cellImage>
    <xdr:pic>
      <xdr:nvPicPr>
        <xdr:cNvPr id="292" name="ID_42DA5D247F934420B7DC559791BEA976"/>
        <xdr:cNvPicPr>
          <a:picLocks noChangeAspect="1"/>
        </xdr:cNvPicPr>
      </xdr:nvPicPr>
      <xdr:blipFill>
        <a:blip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19653885"/>
          <a:ext cx="1352550" cy="1352550"/>
        </a:xfrm>
        <a:prstGeom prst="rect">
          <a:avLst/>
        </a:prstGeom>
      </xdr:spPr>
    </xdr:pic>
  </etc:cellImage>
  <etc:cellImage>
    <xdr:pic>
      <xdr:nvPicPr>
        <xdr:cNvPr id="33" name="ID_AA58EE9C51C442EE99C6CB62B7B206A3"/>
        <xdr:cNvPicPr>
          <a:picLocks noChangeAspect="1"/>
        </xdr:cNvPicPr>
      </xdr:nvPicPr>
      <xdr:blipFill>
        <a:blip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860" y="28862655"/>
          <a:ext cx="835025" cy="2112010"/>
        </a:xfrm>
        <a:prstGeom prst="rect">
          <a:avLst/>
        </a:prstGeom>
      </xdr:spPr>
    </xdr:pic>
  </etc:cellImage>
  <etc:cellImage>
    <xdr:pic>
      <xdr:nvPicPr>
        <xdr:cNvPr id="347" name="ID_B9AF6A6395644A19B97AEE9A966C2E1A"/>
        <xdr:cNvPicPr>
          <a:picLocks noChangeAspect="1"/>
        </xdr:cNvPicPr>
      </xdr:nvPicPr>
      <xdr:blipFill>
        <a:blip r:embed="rId147" r:link="rId23"/>
        <a:stretch>
          <a:fillRect/>
        </a:stretch>
      </xdr:blipFill>
      <xdr:spPr>
        <a:xfrm>
          <a:off x="1162685" y="244122575"/>
          <a:ext cx="1349375" cy="1057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5B8196596207497FA2E7DEAEC914BB16"/>
        <xdr:cNvPicPr>
          <a:picLocks noChangeAspect="1"/>
        </xdr:cNvPicPr>
      </xdr:nvPicPr>
      <xdr:blipFill>
        <a:blip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620" y="87165180"/>
          <a:ext cx="358140" cy="1133475"/>
        </a:xfrm>
        <a:prstGeom prst="rect">
          <a:avLst/>
        </a:prstGeom>
      </xdr:spPr>
    </xdr:pic>
  </etc:cellImage>
  <etc:cellImage>
    <xdr:pic>
      <xdr:nvPicPr>
        <xdr:cNvPr id="468" name="ID_E498885D26764AB3BAA5ABD491DCECAB"/>
        <xdr:cNvPicPr>
          <a:picLocks noChangeAspect="1"/>
        </xdr:cNvPicPr>
      </xdr:nvPicPr>
      <xdr:blipFill>
        <a:blip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3370" y="356338505"/>
          <a:ext cx="548640" cy="1140460"/>
        </a:xfrm>
        <a:prstGeom prst="rect">
          <a:avLst/>
        </a:prstGeom>
      </xdr:spPr>
    </xdr:pic>
  </etc:cellImage>
  <etc:cellImage>
    <xdr:pic>
      <xdr:nvPicPr>
        <xdr:cNvPr id="124" name="ID_464BAEAC14884AC49A322551E0B68AD1"/>
        <xdr:cNvPicPr>
          <a:picLocks noChangeAspect="1"/>
        </xdr:cNvPicPr>
      </xdr:nvPicPr>
      <xdr:blipFill>
        <a:blip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620" y="85526880"/>
          <a:ext cx="358140" cy="1133475"/>
        </a:xfrm>
        <a:prstGeom prst="rect">
          <a:avLst/>
        </a:prstGeom>
      </xdr:spPr>
    </xdr:pic>
  </etc:cellImage>
  <etc:cellImage>
    <xdr:pic>
      <xdr:nvPicPr>
        <xdr:cNvPr id="252" name="ID_625AA6EB11434EC897CCF2080D294FAB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223751140"/>
          <a:ext cx="1352550" cy="821690"/>
        </a:xfrm>
        <a:prstGeom prst="rect">
          <a:avLst/>
        </a:prstGeom>
      </xdr:spPr>
    </xdr:pic>
  </etc:cellImage>
  <etc:cellImage>
    <xdr:pic>
      <xdr:nvPicPr>
        <xdr:cNvPr id="466" name="ID_1559D85686F44B0084EED3EB089F51C5"/>
        <xdr:cNvPicPr>
          <a:picLocks noChangeAspect="1"/>
        </xdr:cNvPicPr>
      </xdr:nvPicPr>
      <xdr:blipFill>
        <a:blip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54229670"/>
          <a:ext cx="1352550" cy="975995"/>
        </a:xfrm>
        <a:prstGeom prst="rect">
          <a:avLst/>
        </a:prstGeom>
      </xdr:spPr>
    </xdr:pic>
  </etc:cellImage>
  <etc:cellImage>
    <xdr:pic>
      <xdr:nvPicPr>
        <xdr:cNvPr id="464" name="ID_D14466735F50453A9EA43499E56EC44C"/>
        <xdr:cNvPicPr>
          <a:picLocks noChangeAspect="1"/>
        </xdr:cNvPicPr>
      </xdr:nvPicPr>
      <xdr:blipFill>
        <a:blip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353178110"/>
          <a:ext cx="1352550" cy="98361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ZSY</author>
  </authors>
  <commentList>
    <comment ref="H2" authorId="0">
      <text>
        <r>
          <rPr>
            <b/>
            <sz val="9"/>
            <rFont val="宋体"/>
            <charset val="134"/>
          </rPr>
          <t>ZSY:</t>
        </r>
        <r>
          <rPr>
            <sz val="9"/>
            <rFont val="宋体"/>
            <charset val="134"/>
          </rPr>
          <t xml:space="preserve">
请确认是否有单价限价</t>
        </r>
      </text>
    </comment>
  </commentList>
</comments>
</file>

<file path=xl/sharedStrings.xml><?xml version="1.0" encoding="utf-8"?>
<sst xmlns="http://schemas.openxmlformats.org/spreadsheetml/2006/main" count="600" uniqueCount="402">
  <si>
    <t>珠海市中西医结合医院改扩建工程开办费—家具采购项目采购清单</t>
  </si>
  <si>
    <t>序号</t>
  </si>
  <si>
    <t>标注</t>
  </si>
  <si>
    <t>项目名称</t>
  </si>
  <si>
    <t>参考图片</t>
  </si>
  <si>
    <t>技术参数、规格要求</t>
  </si>
  <si>
    <t>单位</t>
  </si>
  <si>
    <t>数量</t>
  </si>
  <si>
    <t>全费用单价
（元）</t>
  </si>
  <si>
    <t>合价
（元）</t>
  </si>
  <si>
    <t>备注</t>
  </si>
  <si>
    <t>三抽柜</t>
  </si>
  <si>
    <t>1、主要材料： 柜体采用优质≥0.8mm冷轧钢制作，表面采用抗菌粉末静电喷涂处理，具有抗菌、防锈、耐腐蚀、绝缘性高、附着力强、耐摩擦等技术特点；
2、结构配置：三抽
3、五金配件：侧开拉手、三节静音滑轨，管理钥匙功能锁具，互锁装置，第五轮设计，带刹车功能万向轮；
4、尺寸：400×500×605mm</t>
  </si>
  <si>
    <t>组</t>
  </si>
  <si>
    <t>不锈钢地台板</t>
  </si>
  <si>
    <t>1、主要材料：板面采用≥1.0mm厚SUS304不锈钢板材，立柱框架采用38×38×1.2mm不锈钢方管，具有不易生锈、防蚀等特点；
2、结构配置：板面成型厚度30mm，立柱底部带调节脚；
3、工艺要求：所有板件经数控激光切割、模具冲压、数控折弯、焊接、机器打磨而成；
4、尺寸：1100×1100×200mm</t>
  </si>
  <si>
    <t>个</t>
  </si>
  <si>
    <t>不锈钢多功能台</t>
  </si>
  <si>
    <t>1、主要材料：整体采用SUS304全不锈钢制造，台面板及层板采用国标≥1.0mm，台面成型厚度25mm；立柱及加强管采用38×38×1.2mm方管；
2、结构配置：移动主台+背架；配备纸塑袋框+纸袋切割机+篮筐，采用挂钩方式固定在背架上，可拆卸修理更换；背架具备提供所需的电源及网口等所需外接资源功能；
3、工艺要求：台面无立柱阻挡，可放置大件物品；工作台两侧圆角处理，防止磕碰；
4、五金配件：静音沉重脚轮；
5、尺寸：1400×630×1640mm</t>
  </si>
  <si>
    <t>不锈钢工作台</t>
  </si>
  <si>
    <t>1、主要材料：整体采用SUS304≥1.0mm厚不锈钢制造，台面成型厚度25mm；
2、结构/配置：台面+三抽柜+键盘抽+单抽主机柜；
3、工艺要求：台面为双层结构，内嵌12mm厚多层实芯夹板，再用加强筋固定，最后封不锈钢封板，台面整体能承重耐压性好，可减少撞击时发出的响声；所有工件经数控激光切割、模具冲压、数控折弯、亚弧焊接、机器打磨、抛光、拉丝而成；
4、五金配件：三节静音导轨；
5、尺寸：1400×600×800mm</t>
  </si>
  <si>
    <t>不锈钢工作台2</t>
  </si>
  <si>
    <t>1、主要材料：整体采用SUS304≥1.0mm厚不锈钢制造，台面成型厚度25mm；
2、结构/配置：台面+键盘抽+单抽主机柜；
3、工艺要求：台面为双层结构，内嵌12mm厚多层实芯夹板，再用加强筋固定，最后封不锈钢封板，台面整体能承重耐压性好，可减少撞击时发出的响声；所有工件经数控激光切割、模具冲压、数控折弯、亚弧焊接、机器打磨、抛光、拉丝而成；
4、五金配件：三节静音导轨；
5、尺寸：1200×600×800mm</t>
  </si>
  <si>
    <t>不锈钢清洗柜1</t>
  </si>
  <si>
    <t>一、主要材料：整体采用优质SUS304≥1.0mm厚不锈钢制造；
二、结构配置/五金配件：
1、对开双层门板，采用不锈钢缓冲门铰开启；含手动鹅颈水龙头、下水器、进出水管、功能背板（可任意安装水气枪和附件篮筐）； 清洗喷枪3个、干燥喷枪2个；枪体采用SUS304不锈钢制作，可防止内腔腐蚀生锈，避免二次污染；
2、清洗喷枪：配备八个螺旋式清洗喷嘴，清洗喷嘴与枪体之间可以任意更换，适合不同类型的内镜管道，对内镜管道及手术器械管壁进行彻底冲洗;耐受压力0-0.75MPa;手握轻便，开、关、水压、气压的调节完全由喷枪扳手控制，使用方便操作简单、清洗彻底，带有八个常用喷头、可分别用于水冲洗和压缩空气干燥;  
3、干燥喷枪：配备一个螺旋式清洗喷嘴，清洗喷嘴与枪体之间可以任意更换，适合不同类型的内镜管道，对内镜管道及手术器械管壁进行彻底冲洗；
三、尺寸：4880×650×950mm</t>
  </si>
  <si>
    <t>不锈钢清洗柜2</t>
  </si>
  <si>
    <t>一、主要材料：整体采用优质SUS304≥1.0mm厚不锈钢制造；
二、结构配置/五金配件：
1、对开双层门板，采用不锈钢缓冲门铰开启；含手动鹅颈水龙头、下水器、进出水管、功能背板（可任意安装水气枪和附件篮筐）； 清洗喷枪5个、干燥喷枪4个；枪体采用SUS304不锈钢制作，可防止内腔腐蚀生锈，避免二次污染；
2、清洗喷枪：配备八个螺旋式清洗喷嘴，清洗喷嘴与枪体之间可以任意更换，适合不同类型的内镜管道，对内镜管道及手术器械管壁进行彻底冲洗;耐受压力0-0.75MPa;手握轻便，开、关、水压、气压的调节完全由喷枪扳手控制，使用方便操作简单、清洗彻底，带有八个常用喷头、可分别用于水冲洗和压缩空气干燥；
3、干燥喷枪：配备一个螺旋式清洗喷嘴，清洗喷嘴与枪体之间可以任意更换，适合不同类型的内镜管道，对内镜管道及手术器械管壁进行彻底冲洗；
三、尺寸：7100×650×950mm</t>
  </si>
  <si>
    <t>不锈钢清洗柜3</t>
  </si>
  <si>
    <t>一、主要材料：整体采用优质SUS304≥1.0mm厚不锈钢制造；
二、结构配置/五金配件：
1、对开双层门板，采用不锈钢缓冲门铰开启；含手动鹅颈水龙头、下水器、进出水管、功能背板（可任意安装水气枪和附件篮筐）； 清洗喷枪2个、干燥喷枪1个；枪体采用SUS304不锈钢制作，可防止内腔腐蚀生锈，避免二次污染；
2、清洗喷枪：配备八个螺旋式清洗喷嘴，清洗喷嘴与枪体之间可以任意更换，适合不同类型的内镜管道，对内镜管道及手术器械管壁进行彻底冲洗;耐受压力0-0.75MPa;手握轻便，开、关、水压、气压的调节完全由喷枪扳手控制，使用方便操作简单、清洗彻底，带有八个常用喷头、可分别用于水冲洗和压缩空气干燥;  
3、干燥喷枪：配备一个螺旋式清洗喷嘴，清洗喷嘴与枪体之间可以任意更换，适合不同类型的内镜管道，对内镜管道及手术器械管壁进行彻底冲洗；
三、尺寸：1800×650×950mm</t>
  </si>
  <si>
    <t>不锈钢清洗柜4</t>
  </si>
  <si>
    <t>一、主要材料：整体采用优质SUS304≥1.0mm厚不锈钢制造；
二、结构配置/五金配件：
1、对开双层门板，采用不锈钢缓冲门铰开启；含手动鹅颈水龙头、下水器、进出水管、功能背板（可任意安装水气枪和附件篮筐）； 清洗喷枪2个、干燥喷枪1个；枪体采用SUS304不锈钢制作，可防止内腔腐蚀生锈，避免二次污染；
2、清洗喷枪：配备八个螺旋式清洗喷嘴，清洗喷嘴与枪体之间可以任意更换，适合不同类型的内镜管道，对内镜管道及手术器械管壁进行彻底冲洗;耐受压力0-0.75MPa;手握轻便，开、关、水压、气压的调节完全由喷枪扳手控制，使用方便操作简单、清洗彻底，带有八个常用喷头、可分别用于水冲洗和压缩空气干燥;  
3、干燥喷枪：配备一个螺旋式清洗喷嘴，清洗喷嘴与枪体之间可以任意更换，适合不同类型的内镜管道，对内镜管道及手术器械管壁进行彻底冲洗。
三、尺寸：2400×650×950mm</t>
  </si>
  <si>
    <t>候诊椅</t>
  </si>
  <si>
    <t>1、 扶手/椅脚：采用优质铝合金压铸成型，表面做静电喷粉喷涂处理。扶手不分左右，扶手位呈口字型密封设计安全，扶手面加装PU扶手面。站脚形状为“人”字形以确保最佳的支撑稳定性，调节脚垫为黑色优质PP脚垫。每个位置均需配置扶手间隔；
2、椅座/椅背：外部采用100%纯高密度聚氨酯（PU)全部包裹，模具内一体成型（采用整体组合座背板，不能采用分体式连接），产品具有耐用坚固，有良好的耐油性，耐老化，耐霉菌，耐磨性，环保无毒等性能优点。 内部框架采用1.2mm优质钢架制作；
3、承重横梁：采用80mm×40mm矩形管钢管，结构厚重，表面做静电喷粉喷涂处理或高分子纳米处理，承载力好，美观大方，表面平整光滑，不能有凹凸不平导致容易藏尘藏灰的现像发生；
4、尺寸：三人位 根据采购人实际需求提供。</t>
  </si>
  <si>
    <t>候诊椅2</t>
  </si>
  <si>
    <t>1、 扶手/椅脚：采用优质铝合金压铸成型，表面做静电喷粉喷涂处理。扶手不分左右，扶手位呈口字型密封设计安全，扶手面加装PU扶手面。站脚形状为“人”字形以确保最佳的支撑稳定性，调节脚垫为黑色优质PP脚垫。每个位置均需配置扶手间隔；
2、椅座/椅背：外部采用100%纯高密度聚氨酯（PU)全部包裹，模具内一体成型（采用整体组合座背板，不能采用分体式连接），产品具有耐用坚固，有良好的耐油性，耐老化，耐霉菌，耐磨性，环保无毒等性能优点。 内部框架采用1.2mm优质钢架制作；
3、承重横梁：采用80mm×40mm矩形管钢管，结构厚重，表面做静电喷粉喷涂处理或高分子纳米处理，承载力好，美观大方，表面平整光滑，不能有凹凸不平导致容易藏尘藏灰的现像发生；
4、尺寸：五人位 根据采购人实际需求提供。</t>
  </si>
  <si>
    <t>内窥镜柜</t>
  </si>
  <si>
    <t>1、适用范围：适用于各类型软式内窥镜的储存；
2、设备电源： AC220V 50Hz, 功率≤80W；
3、储存方式：满足wS507-2016《软式内镜清洗消毒技术规范》悬挂储存的要求；
4、储存数量：储存≥6条各类型软式内窥镜； 
5、内胆采用优质PMMA-ABS复合材料，整体吸塑成型，无缝隙、不藏污纳垢，易清洁、表面细菌残留量低，对内镜无磨损等特性。外部柜体采用≥0.8mm厚冷轧板材制作，表面采用优质抑菌粉末喷涂处理，与内胆融为一体，柜内空间密闭效果优异；
6、液晶显示，内设智能化自动控制紫外线循环风消毒程序，消毒时间可调（0-60分钟）、内镜储存工作温度0-50℃自动可调、照明、湿度自动可调节控制、温湿度显示、通风干燥功能等；
7、柜内透明PMMA制成的内镜悬挂专用装置，上中下三套，全方位定位内镜，防止相互碰撞，下部件为可升降式，适应不同尺寸内镜需要；
8、柜体底部装配有4个防滑静音脚轮 分别为两个自锁、两个活动，方便用户移动镜柜；
9、循环系统:设备储存室实时保持正压状态, 防止外面空气进入储存室内, 确保洁净状态；
10、消毒模式：智能化控制循环风消毒，循环风闭式空气消毒系统，带消毒累时功能。具有自动和定时两种消毒模式, 采用紫外线杀菌灯消毒方式对过滤后的空气进行消毒,保证进入柜内空气的洁净, 有效隔断储存内镜的二次污染，紫外线杀菌灯使用寿命≥8000小时；
11、设备尺寸：单门版，高度≥2000（mm），宽度≥730（mm），深度≥550（mm）；
12、尺寸：根据采购人实际需求提供。</t>
  </si>
  <si>
    <t>分类工作台</t>
  </si>
  <si>
    <t>1、主要材料：采用SUS304不锈钢板材，具有不易生锈、防蚀等特点；台面板用≥1.0mm；台架采用≥38×38×1.2mm方管制作；
2、结构配置：台面+台架；
3、工艺要求：内嵌12mm厚多层实芯夹板，再用加强管固定，最后封不锈钢封板，台面整体能承重耐压性好，可减少撞击时发出的响声；所有工件经数控激光切割、模具冲压、数控折弯、亚弧焊接、机器打磨、抛光、拉丝而成；
4、尺寸：1860×700×800mm</t>
  </si>
  <si>
    <t>医生工作台</t>
  </si>
  <si>
    <t>1、台面/柜体/挡板：采用优质E0级双饰面实木多层板制作，台面厚度≥25mm，侧板、背板、抽面、底板厚度≥16mm；
2、封边：采用2.0mm厚近色PVC全自动封边工艺，防水、防潮、不变色；  
3、台架：采用≥60×30mm方管制作，表面采用抗菌粉末静电喷涂处理，底部配防滑调脚；                                                          
4、结构配置：台面+台架+三抽立柜+塑料键盘架+吊木挡板+钢管主机架+Φ60mm金属线盒+吊线槽；
5、五金配件：三节静音导轨、锁具、嵌入式拉手、连接件等；
6、尺寸：1200×600×750mm</t>
  </si>
  <si>
    <t>●</t>
  </si>
  <si>
    <t>医生工作台2</t>
  </si>
  <si>
    <t>1、台面/柜体/挡板：采用优质E0级双饰面实木多层板制作，台面厚度≥25mm，侧板、背板、抽面、底板厚度≥16mm；
2、封边：采用2.0mm厚近色PVC全自动封边工艺，防水、防潮、不变色；  
3、台架：采用≥60×30mm方管制作，表面采用抗菌粉末静电喷涂处理，底部配防滑调脚；                                                          
4、结构配置：台面+台架+三抽立柜+塑料键盘架+吊木挡板+钢管主机架+Φ60mm金属线盒+吊线槽+桌面屏风；
5、五金配件：三节静音导轨、锁具、嵌入式拉手、屏风固定件等；
6、尺寸：1200×600×750mm</t>
  </si>
  <si>
    <t>医生工作台3</t>
  </si>
  <si>
    <t>1、台面/柜体/挡板：采用优质E0级双饰面实木多层板制作，台面厚度≥25mm，侧板、背板、抽面、底板厚度≥16mm；
2、封边：采用2.0mm厚近色PVC全自动封边工艺，防水、防潮、不变色；  
3、台架：采用≥60×30mm方管制作，表面采用抗菌粉末静电喷涂处理，底部配防滑调脚；                                                          
4、结构配置：台面+台架+三抽立柜+塑料键盘架+吊木挡板+钢管主机架+Φ60mm金属线盒+吊线槽；
5、五金配件：三节静音导轨、锁具、嵌入式拉手、连接件等；
6、尺寸：1400×600×750mm</t>
  </si>
  <si>
    <t>医生工作台4</t>
  </si>
  <si>
    <t>1、台面/挡板：采用优质E0级双饰面实木多层板制作，台面厚度≥25mm；
2、封边：采用2.0mm厚近色PVC全自动封边工艺，防水、防潮、不变色；  
3、台架：采用≥60×30mm方管制作，表面采用抗菌粉末静电喷涂处理，底部配防滑调脚；                                                          
4、结构配置：台面+台架+塑料键盘架+吊木挡板+钢管主机架+Φ60mm金属线盒+吊线槽；
5、尺寸：900×600×750mm</t>
  </si>
  <si>
    <t>医生工作台5</t>
  </si>
  <si>
    <t>1、台面/柜体/挡板：采用优质E0级双饰面实木多层板制作，台面厚度≥25mm，侧板、背板、抽面、底板厚度≥16mm；
2、封边：采用2.0mm厚近色PVC全自动封边工艺，防水、防潮、不变色；  
3、台架：采用≥60×30mm方管制作，表面采用抗菌粉末静电喷涂处理，底部配防滑调脚；                                                          
4、结构配置：台面+台架+三抽立柜+塑料键盘架+吊木挡板+钢管主机架+Φ60mm金属线盒+吊线槽；
5、五金配件：三节静音导轨、锁具、嵌入式拉手、连接件等；
6、尺寸：1500×600×750mm</t>
  </si>
  <si>
    <t>医生工作台6</t>
  </si>
  <si>
    <t>1、主要材料：整体采用优质E0级双饰面实木多层板制作，台面厚度≥25mm，侧板、背板、抽面、底板厚度≥16mm；
2、封边：采用2.0mm厚近色PVC全自动封边工艺，防水、防潮、不变色；
3、结构配置：主台+三个吊抽屉；
4、五金配件：三节静音导轨、锁具、嵌入式拉手、连接件等；
5、尺寸：1200×600×750mm</t>
  </si>
  <si>
    <t>医生工作台7</t>
  </si>
  <si>
    <t>1、台架/柜体：采用≥0.8mm优质电解钢板制作，抗菌粉末静电喷涂处理，具有抗菌、防锈、耐腐蚀、绝缘性高、附着力强、耐摩擦等技术特点。柜体踢脚线面贴SUS304不锈钢，厚度≥1.0mm；柜体窄边框结构；
2、台面：采用≥12mm厚医用级复合亚克力人造石制作，表面经打磨抛光处理；
3、结构配置：台面+挡板+三抽台下柜+带锁主机柜；双层抽面板、窄边框结构；
4、五金配件：三节静音导轨、锁具、一体折弯拉手等；
5、尺寸：1170×600×750mm</t>
  </si>
  <si>
    <t>医用储物柜1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</si>
  <si>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3、结构配置：主柜（上下对开掩门、门内各配两块活动层板）；外盖门结构；
4、五金配件：阻尼门铰、锁具、嵌入式拉手、连接件等；
5、尺寸：800×600×2000mm</t>
  </si>
  <si>
    <t>医用储物柜2</t>
  </si>
  <si>
    <t>1、主要材料：柜体采用≥0.8mm优质电解钢板制作，抗菌粉末静电喷涂处理，具有抗菌、防锈、耐腐蚀、绝缘性高、附着力强、耐摩擦等技术特点。柜体踢脚线面贴SUS304不锈钢，厚度≥1.0mm；
2、结构配置：主柜（上下对开掩门，门内各配两块活动层板）；双层门板、窄边框结构；
3、五金配件：缓冲阻尼门铰、一体折弯拉手、标签槽等；
4、尺寸：950×560×1950mm</t>
  </si>
  <si>
    <t>医用储物柜3</t>
  </si>
  <si>
    <t>1、主要材料：柜体采用≥0.8mm优质电解钢板制作，抗菌粉末静电喷涂处理，具有抗菌、防锈、耐腐蚀、绝缘性高、附着力强、耐摩擦等技术特点。柜体踢脚线面贴SUS304不锈钢，厚度≥1.0mm；
2、结构配置：主柜（上下对开掩门，门内各配两块活动层板）；双层门板、窄边框结构；
3、五金配件：缓冲阻尼门铰、一体折弯拉手、标签槽等；
4、尺寸：800×600×2000mm</t>
  </si>
  <si>
    <t>医用储物柜4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</si>
  <si>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3、结构配置：主柜（上下对开掩门、门内各配两块活动层板）；外盖门结构；
4、五金配件：阻尼门铰、锁具、嵌入式拉手、连接件等；
5、尺寸：1200×600×2700mm</t>
  </si>
  <si>
    <t>医用储物柜5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</si>
  <si>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3、结构配置：主柜（上下对开掩门、门内各配两块活动层板）；外盖门结构；
4、五金配件：阻尼门铰、锁具、嵌入式拉手、连接件等；
5、尺寸：1100×600×2000mm</t>
  </si>
  <si>
    <t>医用储物柜6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</si>
  <si>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3、结构配置：主柜（上下掩门、门内各配两块活动层板）；外盖门结构，
4、五金配件：阻尼门铰、锁具、嵌入式拉手、连接件等；
5、尺寸：2700×600×2000mm</t>
  </si>
  <si>
    <t>医用储物顶柜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</si>
  <si>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3、结构配置：主柜（对开掩门）；外盖门结构，与下柜配合使用；
4、五金配件：阻尼门铰、锁具、嵌入式拉手、连接件等；
5、尺寸：800×600×600mm</t>
  </si>
  <si>
    <t>医用储物顶柜2</t>
  </si>
  <si>
    <t>1、主要材料：整体采用E0级双饰面实木多层板制作，顶板、层板厚度≥25mm，侧板、门板、底板厚度≥16mm；
2、封边：采用2.0mm厚近色PVC全自动封边工艺，防水、防潮、不变色；
3、结构配置：主柜（对开掩门）；外盖门结构，与下柜配合使用；
4、五金配件：阻尼门铰、锁具、嵌入式拉手、连接件等；
5、尺寸：1100×600×600mm</t>
  </si>
  <si>
    <t>医用储物顶柜3</t>
  </si>
  <si>
    <t>1、主要材料：柜体采用≥0.8mm优质电解钢板制作，表面采用抗菌粉末静电喷涂处理，具有抗菌、防锈、耐腐蚀、绝缘性高、附着力强、耐摩擦等技术特点；
2、结构配置：主柜（掩门）；双层门板、窄边框结构；
3、五金配件：缓冲阻尼门铰、一体折弯拉手、标签槽等；
4、尺寸：800×600×600mm</t>
  </si>
  <si>
    <t>医用实验边台</t>
  </si>
  <si>
    <t>1、台面：采用≥12.7mm厚耐酸碱防腐蚀实芯理化板；
2、台架：框架采用≥40×60×1.5mm C型钢，梁采用≥30×80×1.5mm C型钢；
3、柜体：采用≥0.8mm电解钢制作，表面采用抗菌粉末静电喷涂处理，具有抗菌、防锈、耐腐蚀、绝缘性高、附着力强、耐摩擦等技术特点；
4、结构/配置：主柜（单门单抽柜）+C型脚架+理化板台面；全钢悬挂式结构，双层门板/抽面、窄边框结构；
5、五金配件：三节静音导轨、105度合金门铰、一体折弯拉手；
6、尺寸：1000×400×850mm</t>
  </si>
  <si>
    <t>医用水柜</t>
  </si>
  <si>
    <t>1、台面：采用≥12mm厚医用级复合亚克力人造石，表面经打磨抛光无缝拼接处理；
2、柜体；采用E0级双饰面实木多层板制作，顶板、活动层板厚度≥25mm，侧板、门板、背板、抽面厚度≥16mm；
3、封边：采用2.0mm厚近色PVC全自动封边工艺，防水、防潮、不变色；
4、结构配置：主柜（上抽下掩门+门内各配1件活动层板）+人造石台面；外盖门结构；
5、五金配件：阻尼门铰、三节静音路轨、嵌入式拉手、连接件等；
6、尺寸：800×420×800mm</t>
  </si>
  <si>
    <t>医用水柜2</t>
  </si>
  <si>
    <t>1、台面：采用≥12mm厚医用级复合亚克力人造石，表面经打磨抛光无缝拼接处理；
2、柜体；采用E0级双饰面实木多层板制作，顶板、活动层板厚度≥25mm，侧板、门板、背板、抽面厚度≥16mm；
3、封边：采用2.0mm厚近色PVC全自动封边工艺，防水、防潮、不变色；
4、结构配置：主柜（上抽下掩门+门内各配1件活动层板）+人造石台面；外盖门结构；
5、五金配件：阻尼门铰、三节静音路轨、嵌入式拉手、连接件等；
6、尺寸：5400×420×800mm</t>
  </si>
  <si>
    <t>医用水柜3</t>
  </si>
  <si>
    <t>1、台面：采用≥12mm厚医用级复合亚克力人造石，表面经打磨抛光无缝拼接处理；
2、柜体；采用E0级双饰面实木多层板制作，顶板、活动层板厚度≥25mm，侧板、门板、背板、抽面厚度≥16mm；
3、封边：采用2.0mm厚近色PVC全自动封边工艺，防水、防潮、不变色；
4、结构配置：主柜（上抽下掩门+门内各配1件活动层板）+人造石台面；外盖门结构；
5、五金配件：阻尼门铰、三节静音路轨、嵌入式拉手、连接件等；
6、尺寸：4500×420×800mm</t>
  </si>
  <si>
    <t>医用货架</t>
  </si>
  <si>
    <t>1、主要材料：整体采用SUS304不锈钢板材制作，立柱≥40×40×1.5mm，立柱横杆≥40×20×1.5mm；外侧横梁≥20×60×1.2mm，内侧横梁≥15×15×1.2mm，层板厚度≥0.8mm；
2、结构配置：主架+顶层+底层+中间3块活动层板；层板底部配有加强筋，每层可承重≥200KG；
3、工艺要求：整体可以拆装，每层节距可以自由调节，所有板件经数控激光切割、模具冲压、数控折弯、焊接、机器打磨而成；
4、五金配件：防滑脚垫；
6、尺寸：1200×500×1950mm</t>
  </si>
  <si>
    <t>医用货架2</t>
  </si>
  <si>
    <t>1、主要材料：整体采用优质冷轧钢板制作，立柱≥40×40×1.5mm，立柱横杆≥40×20×1.5mm；外侧横梁≥20×60×1.2mm，内侧横梁≥15×15×1.2mm，层板厚度≥0.8mm；
2、结构配置：主架+顶层+底层+中间3块活动层板；层板底部配有加强筋，每层可承重≥200KG；
3、工艺要求：整体可以拆装，所有板件经数控激光切割、模具冲压、数控折弯、焊接、机器打磨而成；表面采用抗菌粉末静电喷涂处理，具有抗菌、防锈、耐腐蚀、绝缘性高、附着力强、耐摩擦等技术特点；
4、五金配件：防滑脚垫；
5、尺寸：1200×600×1950mm</t>
  </si>
  <si>
    <t>医用货架3</t>
  </si>
  <si>
    <t>1、主要材料：整体采用优质冷轧钢板制作，立柱40×40×1.5mm，立柱横杆40×20×1.5mm；外侧横梁20×60×1.2mm，内侧横梁15×15×1.2mm，层板厚度≥0.8mm；
2、结构配置：主架+顶层+底层+中间3块活动层板；层板底部配有加强筋，每层可承重≥200KG；
3、工艺要求：整体可以拆装，所有板件经数控激光切割、模具冲压、数控折弯、焊接、机器打磨而成；表面采用抗菌粉末静电喷涂处理，具有抗菌、防锈、耐腐蚀、绝缘性高、附着力强、耐摩擦等技术特点；
4、五金配件：防滑脚垫；
5、尺寸：2000×600×1950mm</t>
  </si>
  <si>
    <t>医用货架4</t>
  </si>
  <si>
    <t>1、主要材料：整体框架全部采用铝合金型材，表面氧化铝处理；
2、结构配置：航空铝龙骨主架+聚丙烯PA(尼龙结构连接件+聚丙烯PE层板（7层）、固定导轨配件为PA(尼龙)材料；
3、每层四周配有护栏档条，每层正面配有标签卡条，每层配备亚克力磁吸分隔条。可拆装便于运输与安装；
4、整体尺寸要求：高度≥2000（mm），宽度≥700（mm）深度≥460（mm）；
5、尺寸：700×460×2000mm</t>
  </si>
  <si>
    <t>医用货架5</t>
  </si>
  <si>
    <t>1、主要材料：整体采用SUS304不锈钢板材制作，立柱≥40×40×1.5mm，立柱横杆≥40×20×1.5mm；外侧横梁≥20×60×1.2mm，内侧横梁≥15×15×1.2mm，层板厚度≥0.8mm；
2、结构配置：主架+顶层+底层+中间3块活动层板；层板底部配有加强筋，每层可承重≥200KG；
3、工艺要求：整体可以拆装，每层节距可以自由调节，所有板件经数控激光切割、模具冲压、数控折弯、焊接、机器打磨而成；
4、五金配件：防滑脚垫；
5、尺寸：1800×500×1950mm</t>
  </si>
  <si>
    <t>医用货柜</t>
  </si>
  <si>
    <t>1、主要材料：整体采用≥0.8mm优质电解钢板制作，抗菌粉末静电喷涂处理，具有抗菌、防锈、耐腐蚀、绝缘性高、附着力强、耐摩擦等技术特点；
2、封边：采用2.0mm厚近色PVC全自动封边工艺，防水、防潮、不变色；
3、结构配置：主柜（上对开掩门、上柜两件活动层板+空格下柜）、双层门板、窄边框结构；空格下柜可存放推车；
4、五金配件：阻尼门铰、一体折弯拉手；
5、尺寸：950×560×1950mm</t>
  </si>
  <si>
    <t>医用资料柜</t>
  </si>
  <si>
    <t>1、主要材料：采用E0级实木多层板；顶板、层板厚度≥25mm，侧板、门板、底板厚度≥16mm；上柜门板内嵌5mm厚钢化玻璃；
2、封边：采用见光面为2.0mm厚全自动封边工艺，防水、防潮、不变色；
3、结构配置：主柜（上下对开掩门、上门2块活层、下门1块活层）；外盖门结构；
4、五金配件：阻尼门铰、锁具、嵌入式拉手、连接件等；
5、尺寸：800×420×2000mm</t>
  </si>
  <si>
    <t>医用资料柜2</t>
  </si>
  <si>
    <t>1、主要材料：采用E0级实木多层板；顶板、层板厚度≥25mm，侧板、门板、底板厚度≥16mm；上柜门板内嵌5mm厚钢化玻璃；
2、封边：采用见光面为2.0mm厚全自动封边工艺，防水、防潮、不变色；
3、结构配置：主柜（上下对开掩门、上门2块活层、下门1块活层）；外盖门结构；
4、五金配件：阻尼门铰、锁具、嵌入式拉手、连接件等；
5、尺寸：4400×420×2000mm</t>
  </si>
  <si>
    <t>医疗衣物柜-2门</t>
  </si>
  <si>
    <t>1、主要材料：柜体采用≥0.8mm优质冷轧钢板制作，抗菌粉末静电喷涂处理，具有抗菌、防锈、耐腐蚀、绝缘性高、附着力强、耐摩擦等技术特点；
2、结构配置：主柜（横向2个单开掩门+层板+挂衣杆）；双层门板、窄边框结构；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5、尺寸：615×500×1950mm</t>
  </si>
  <si>
    <t>医疗衣物柜-2门放鞋</t>
  </si>
  <si>
    <t>1、主要材料：柜体采用≥0.8mm优质冷轧钢板制作，抗菌粉末静电喷涂处理，具有抗菌、防锈、耐腐蚀、绝缘性高、附着力强、耐摩擦等技术特点；
2、结构配置：主柜（上2个单开掩门+层板+挂衣杆+下2个单开掩门带层板放鞋）；双层门板、窄边框结构；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5、尺寸：615×500×1950mm</t>
  </si>
  <si>
    <t>医疗衣物柜-3门放鞋</t>
  </si>
  <si>
    <t>1、主要材料：柜体采用≥0.8mm优质冷轧钢板制作，抗菌粉末静电喷涂处理，具有抗菌、防锈、耐腐蚀、绝缘性高、附着力强、耐摩擦等技术特点；
2、结构配置：主柜（上3个单开掩门+层板+挂衣杆+下3个单 开掩门带层板放鞋）；双层门板、窄边框结构；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</si>
  <si>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医疗衣物柜-4门</t>
  </si>
  <si>
    <t>1、主要材料：柜体采用≥0.8mm优质冷轧钢板制作，抗菌粉末静电喷涂处理，具有抗菌、防锈、耐腐蚀、绝缘性高、附着力强、耐摩擦等技术特点；
2、结构配置：主柜（4个单开掩门+层板+挂衣杆）；双层门板、窄边框结构；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5、尺寸：615×500×1950mm</t>
  </si>
  <si>
    <t>医疗衣物柜-4门放鞋</t>
  </si>
  <si>
    <t>1、主要材料：柜体采用≥0.8mm优质冷轧钢板制作，抗菌粉末静电喷涂处理，具有抗菌、防锈、耐腐蚀、绝缘性高、附着力强、耐摩擦等技术特点；
2、结构配置：主柜（上4个单开掩门+层板+下2个单 开掩门带层板放鞋）；双层门板、窄边框结构；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5、尺寸：615×500×1950mm</t>
  </si>
  <si>
    <t>医疗衣物柜-6门</t>
  </si>
  <si>
    <t>1、主要材料：柜体采用≥0.8mm优质冷轧钢板制作，抗菌粉末静电喷涂处理，具有抗菌、防锈、耐腐蚀、绝缘性高、附着力强、耐摩擦等技术特点；
2、结构配置：主柜（6个单开掩门+层板+挂衣杆）；双层门板、窄边框结构；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</si>
  <si>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医疗衣物柜-6门放鞋</t>
  </si>
  <si>
    <t>1、主要材料：柜体采用≥0.8mm优质冷轧钢板制作，抗菌粉末静电喷涂处理，具有抗菌、防锈、耐腐蚀、绝缘性高、附着力强、耐摩擦等技术特点；
2、结构配置：主柜（上6个单开掩门+层板+下2个单 开掩门带层板放鞋）；双层门板、窄边框结构；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</si>
  <si>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医疗衣物柜-9门</t>
  </si>
  <si>
    <t>1、主要材料：柜体采用≥0.8mm优质冷轧钢板制作，抗菌粉末静电喷涂处理，具有抗菌、防锈、耐腐蚀、绝缘性高、附着力强、耐摩擦等技术特点；
2、结构配置：主柜（9个单开掩门+层板）；双层门板、窄边框结构；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</si>
  <si>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医疗衣物柜-公衣柜</t>
  </si>
  <si>
    <t>1、主要材料：柜体采用≥0.8mm优质冷轧钢板制作，抗菌粉末静电喷涂处理，具有抗菌、防锈、耐腐蚀、绝缘性高、附着力强、耐摩擦等技术特点；
2、结构配置：主柜（一块层板+2根挂衣杆）；
3、工艺要求：所有板件经数控激光切割、模具冲压、数控折弯、焊接、机器打磨而成；表面采用抗菌粉末静电喷涂处理，具有抗菌、防锈、耐腐蚀、绝缘性高、附着力强、耐摩擦等技术特点；
5、尺寸：800×500×1950mm</t>
  </si>
  <si>
    <t>医疗衣物柜2-2门</t>
  </si>
  <si>
    <t>1、主要材料：柜体采用≥0.8mm优质冷轧钢板制作，抗菌粉末静电喷涂处理，具有抗菌、防锈、耐腐蚀、绝缘性高、附着力强、耐摩擦等技术特点；
2、结构配置：主柜（横向2个单开掩门+层板+挂衣杆）；双层门板、窄边框结构；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</si>
  <si>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医疗衣物柜2-2门放鞋</t>
  </si>
  <si>
    <t>1、主要材料：柜体采用≥0.8mm优质冷轧钢板制作，抗菌粉末静电喷涂处理，具有抗菌、防锈、耐腐蚀、绝缘性高、附着力强、耐摩擦等技术特点；
2、结构配置：主柜（上2个单开掩门+层板+挂衣杆+下2个单 开掩门带层板放鞋）；双层门板、窄边框结构；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5、尺寸：1000×500×1950mm</t>
  </si>
  <si>
    <t>医疗衣物柜2-4门</t>
  </si>
  <si>
    <t>1、主要材料：柜体采用≥0.8mm优质冷轧钢板制作，抗菌粉末静电喷涂处理，具有抗菌、防锈、耐腐蚀、绝缘性高、附着力强、耐摩擦等技术特点；
2、结构配置：主柜（4个单开掩门+层板）；双层门板、窄边框结构；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5、尺寸：910×500×1950mm</t>
  </si>
  <si>
    <t>医疗衣物柜2-6门</t>
  </si>
  <si>
    <t>1、主要材料：柜体采用≥0.8mm优质冷轧钢板制作，抗菌粉末静电喷涂处理，具有抗菌、防锈、耐腐蚀、绝缘性高、附着力强、耐摩擦等技术特点；
2、结构配置：主柜（6个单开掩门+层板）、双层门板、窄边框结构；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5、尺寸：615×500×1950mm</t>
  </si>
  <si>
    <t>医疗衣物柜2-公衣柜</t>
  </si>
  <si>
    <t>1、主要材料：柜体采用≥0.8mm优质冷轧钢板制作，抗菌粉末静电喷涂处理，具有抗菌、防锈、耐腐蚀、绝缘性高、附着力强、耐摩擦等技术特点；
2、结构配置：主柜（竖向2个单开掩门+层板+挂衣杆）、双层门板、窄边框结构；
3、五金配件：电子密码锁、钢制内嵌拉手、阻尼门铰、标签槽等；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5、尺寸：800×500×1950mm</t>
  </si>
  <si>
    <t>医疗分类垃圾柜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</si>
  <si>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3、结构配置：台面+主柜（双筒垃圾柜+脚踏式ABS垃圾桶/垃圾盖+不锈钢脚踏及传动机构），双层门板、窄边框结构；
4、五金配件：三节静音导轨、一体折弯拉手、阻尼门铰等；
5、工艺要求：柜体内部干净整洁无卫生死角。垃圾盖及垃圾桶采用ABS材质制作。踏板，踢脚线及传动机构采用304不锈钢材料制作，脚踏式翻盖工艺，柜体内置抽拉式垃圾桶底座，抽拉轻便，便于垃圾桶处置；
6、尺寸：880×600×850mm</t>
  </si>
  <si>
    <t>医疗分类垃圾柜2</t>
  </si>
  <si>
    <t>1、柜体：采用≥0.8mm优质电解钢板制作，抗菌粉末静电喷涂处理，具有抗菌、防锈、耐腐蚀、绝缘性高、附着力强、耐摩擦等技术特点。柜体踢脚线面贴SUS304不锈钢，厚度≥1.0mm；柜体窄边框结构；
2、台面：采用≥12mm厚医用级复合亚克力人造石制作，表面经打磨抛光处理；
3、结构配置：台面+主柜（单筒垃圾柜+脚踏式ABS垃圾桶/垃圾盖+不锈钢脚踏及传动机构），双层门板、窄边框结构；
4、五金配件：三节静音导轨、一体折弯拉手、阻尼门铰等；
5、工艺要求：柜体内部干净整洁无卫生死角。垃圾盖及垃圾桶采用ABS材质制作。踏板，踢脚线及传动机构采用304不锈钢材料制作，脚踏式翻盖工艺，柜体内置抽拉式垃圾桶底座，抽拉轻便，便于垃圾桶处置；
6、尺寸：450×600×850mm</t>
  </si>
  <si>
    <t>医用吊柜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</si>
  <si>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5、尺寸：950×560×600mm</t>
  </si>
  <si>
    <t>医用吊柜2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</si>
  <si>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5、尺寸：910×400×600mm</t>
  </si>
  <si>
    <t>医用吊柜3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</si>
  <si>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5、尺寸：910×500×600mm</t>
  </si>
  <si>
    <t>医用吊柜4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</si>
  <si>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5、尺寸：615×500×600mm</t>
  </si>
  <si>
    <t>医用吊柜5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</si>
  <si>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5、尺寸：3500×350×600mm</t>
  </si>
  <si>
    <t>医用吊柜6</t>
  </si>
  <si>
    <t>1、柜体：采用≥0.8mm优质电解钢板制作，抗菌粉末静电喷涂处理，具有抗菌、防锈、耐腐蚀、绝缘性高、附着力强、耐摩擦等技术特点；
2、结构配置：主柜(对开掩门，内含1块活动层板+标签卡)；双层门板、窄边框结构；
3、五金配件：阻尼门铰、锁具、一体折弯拉手、标签槽等；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5、尺寸：3100×400×600mm</t>
  </si>
  <si>
    <t>医用吊柜7</t>
  </si>
  <si>
    <t>1、主要材料：整体采用E0级双饰面实木多层板制作，底板、层板厚度≥25mm，其他板件厚度≥16mm；
2、封边：采用2.0mm厚近色PVC全自动封边工艺，防水、防潮、不变色；
3、结构配置：主柜（对开掩门，内含1层活动层板）；
4、五金配件：阻尼门铰、嵌入式拉手、连接件等；
5、尺寸：800×420×600mm</t>
  </si>
  <si>
    <t>医用吊柜8</t>
  </si>
  <si>
    <t>1、主要材料：整体采用E0级双饰面实木多层板制作，底板、层板厚度≥25mm，其他板件厚度≥16mm；
2、封边：采用2.0mm厚近色PVC全自动封边工艺，防水、防潮、不变色；
3、结构配置：主柜（对开掩门，内含1层活动层板）；
4、五金配件：阻尼门铰、嵌入式拉手、连接件等；
5、尺寸：800×350×600mm</t>
  </si>
  <si>
    <t>医用吊柜9</t>
  </si>
  <si>
    <t>1、主要材料：整体采用E0级双饰面实木多层板制作，底板、层板厚度≥25mm，其他板件厚度≥16mm；
2、封边：采用2.0mm厚近色PVC全自动封边工艺，防水、防潮、不变色；
3、结构配置：主柜（单开掩门，内含1层活动层板）；
4、五金配件：阻尼门铰、嵌入式拉手、连接件等；
5、尺寸：400×350×600mm</t>
  </si>
  <si>
    <t>医用吊柜10</t>
  </si>
  <si>
    <t>1、主要材料：整体采用E0级双饰面实木多层板制作，底板、层板厚度≥25mm，其他板件厚度≥16mm；
2、封边：采用2.0mm厚近色PVC全自动封边工艺，防水、防潮、不变色；
3、结构配置：主柜（对开掩门，内含1层活动层板）；
4、五金配件：阻尼门铰、嵌入式拉手、连接件等；
5、尺寸：4400×420×600mm</t>
  </si>
  <si>
    <t>医用地柜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</si>
  <si>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6、尺寸：520×600×850mm</t>
  </si>
  <si>
    <t>医用地柜2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</si>
  <si>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6、尺寸：2600×600×850mm</t>
  </si>
  <si>
    <t>医用地柜3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</si>
  <si>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6、尺寸：1700×800×850mm</t>
  </si>
  <si>
    <t>医用地柜4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</si>
  <si>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6、尺寸：2100×600×850mm</t>
  </si>
  <si>
    <t>医用地柜5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</si>
  <si>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6、尺寸：880×600×850mm</t>
  </si>
  <si>
    <t>医用地柜6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</si>
  <si>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6、尺寸：6200×600×850mm</t>
  </si>
  <si>
    <t>医用地柜7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</si>
  <si>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6、尺寸：6600×600×850mm</t>
  </si>
  <si>
    <t>医用地柜8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</si>
  <si>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6、尺寸：1950×600×850mm</t>
  </si>
  <si>
    <t>医用地柜9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</si>
  <si>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6、尺寸：6950×600×850mm</t>
  </si>
  <si>
    <t>医用地柜10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</si>
  <si>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6、尺寸：1330×600×850mm</t>
  </si>
  <si>
    <t>医用地柜11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</si>
  <si>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6、尺寸：1800×600×850mm</t>
  </si>
  <si>
    <t>医用地柜12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</si>
  <si>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6、尺寸：4100×600×850mm</t>
  </si>
  <si>
    <t>医用地柜13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</si>
  <si>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6、尺寸：2800×600×850mm</t>
  </si>
  <si>
    <t>医用地柜14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</si>
  <si>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6、尺寸：3350×600×850mm</t>
  </si>
  <si>
    <t>医用地柜15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</si>
  <si>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6、尺寸：3150×600×850mm</t>
  </si>
  <si>
    <t>医用地柜16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</si>
  <si>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6、尺寸：3100×600×850mm</t>
  </si>
  <si>
    <t>医用地柜17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</si>
  <si>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6、尺寸：3000×600×850mm</t>
  </si>
  <si>
    <t>医用地柜18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</si>
  <si>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6、尺寸：3300×600×850mm</t>
  </si>
  <si>
    <t>医用地柜19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</si>
  <si>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6、尺寸：3200×600×850mm</t>
  </si>
  <si>
    <t>医用地柜20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</si>
  <si>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6、尺寸：2950×600×850mm</t>
  </si>
  <si>
    <t>医用地柜21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</si>
  <si>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侧板及门板需考虑排风口通风功能；所有板件经数控激光切割、模具冲压、数控折弯、焊接、机器打磨而成；表面采用抗菌粉末静电喷涂处理，具有抗菌、防锈、耐腐蚀、绝缘性高、附着力强、耐摩擦等技术特点；
6、尺寸：900×600×850mm</t>
  </si>
  <si>
    <t>医用地柜22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</si>
  <si>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2、台面：采用≥12mm厚医用级复合亚克力人造石制作，表面经打磨抛光处理，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6、尺寸：1350×600×850mm</t>
  </si>
  <si>
    <t>医用地柜23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</si>
  <si>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2、台面：采用≥12mm厚医用级复合亚克力人造石制作，表面经打磨抛光处理，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6、尺寸：3400×600×850mm</t>
  </si>
  <si>
    <t>医用地柜24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</si>
  <si>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6、尺寸：1600×600×850mm</t>
  </si>
  <si>
    <t>医用地柜25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</si>
  <si>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6、尺寸：1400×600×850mm</t>
  </si>
  <si>
    <t>医用地柜26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</si>
  <si>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6、尺寸：4400×600×850mm</t>
  </si>
  <si>
    <t>医用地柜27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</si>
  <si>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6、尺寸：300×600×850mm</t>
  </si>
  <si>
    <t>医用地柜28</t>
  </si>
  <si>
    <t>1、柜体：采用≥0.8mm优质电解钢板制作，抗菌粉末静电喷涂处理，具有抗菌、防锈、耐腐蚀、绝缘性高、附着力强、耐摩擦等技术特点。柜体踢脚线面贴SUS304不锈钢，厚度≥1.0mm；
2、台面：采用≥12mm厚医用级复合亚克力人造石制作，表面经打磨抛光处理；
3、结构配置：主柜(上抽下掩门，内含1块活动层板)+人造石面；双层门板/抽面、窄边框结构；
4、五金配件：阻尼门铰、三节静音导轨、锁具、一体折弯拉手、标签槽等；
5、工艺要求：所有板件经数控激光切割、模具冲压、数控折弯、焊接、机器打磨而成；表面采用抗菌粉末静电喷涂处理，具有抗菌、防锈、耐腐蚀、绝缘性高、附着力强、耐摩擦等技术特点；
6、尺寸：580×600×850mm</t>
  </si>
  <si>
    <t>医用地柜29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</si>
  <si>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5、五金配件：阻尼门铰、三节静音路轨、锁具、嵌入式拉手、ABS塑料调节脚、连接件等；
6、尺寸：1950×600×850mm</t>
  </si>
  <si>
    <t>医用地柜30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</si>
  <si>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5、五金配件：阻尼门铰、三节静音路轨、锁具、嵌入式拉手、ABS塑料调节脚、连接件等；
6、尺寸：1350×600×850mm</t>
  </si>
  <si>
    <t>医用地柜31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</si>
  <si>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5、五金配件：阻尼门铰、三节静音路轨、锁具、嵌入式拉手、ABS塑料调节脚+、连接件等；
6、尺寸：1100×600×850mm</t>
  </si>
  <si>
    <t>医用地柜32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</si>
  <si>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5、五金配件：阻尼门铰、三节静音路轨、锁具、嵌入式拉手、ABS塑料调节脚+、连接件等；
6、尺寸：2300×600×850mm</t>
  </si>
  <si>
    <t>医用地柜33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</si>
  <si>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5、五金配件：阻尼门铰、三节静音路轨、锁具、嵌入式拉手、ABS塑料调节脚+、连接件等；
6、尺寸：2000×600×850mm</t>
  </si>
  <si>
    <t>医用地柜34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</si>
  <si>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5、五金配件：阻尼门铰、三节静音路轨、锁具、嵌入式拉手、ABS塑料调节脚+、连接件等；
6、尺寸：2250×600×850mm</t>
  </si>
  <si>
    <t>医用地柜35</t>
  </si>
  <si>
    <t>医用地柜36</t>
  </si>
  <si>
    <t>1、台面：采用≥12mm厚医用级复合亚克力人造石，表面经打磨抛光无缝拼接处理；
2、柜体；采用E0级双饰面实木多层板制作，层板厚度≥25mm，面板、侧板、门板、抽面厚度≥16mm；底板面离地高度120mm，保证防潮存放要求；柜底安装ABS塑料调节脚和铝合金踢脚板；
3、封边：采用2.0mm厚近色PVC全自动封边工艺，防水、防潮、不变色；
4、结构配置：人造石台面+主柜（上抽下掩门+门内各配1件活动层板）；外盖门结构；
5、五金配件：阻尼门铰、三节静音路轨、锁具、嵌入式拉手、ABS塑料调节脚+、连接件等；
6、尺寸：1650×600×850mm</t>
  </si>
  <si>
    <t>医疗配药操作组合柜</t>
  </si>
  <si>
    <t>1、主要材料：采用优质电解钢板制作，表面抗菌粉末静电喷涂处理，具有抗菌、防锈、耐腐蚀、绝缘性高、附着力强、耐摩擦等技术特点。背架、层板托架板材厚度≥1.5mm；其他板件厚度≥0.8mm；踢脚线面贴SUS304不锈钢≥1.0mm；柜台面采用≥12mm厚医用级复合亚克力人造石，表面经打磨抛光处理；
2、结构配置：背架+350mm深带LED灯带吊柜（对开掩门）+350mm深置物层板+电源开关+操作地柜（上抽下掩门）+人造石面；双层门板/抽面、窄边框结构；
3、五金配件：阻尼门铰、三节静音导轨、锁具、一体折弯拉手、标签槽等；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5、尺寸：3100×650×2000mm</t>
  </si>
  <si>
    <t>医疗配药洗消柜</t>
  </si>
  <si>
    <t>1、柜体：采用≥0.8mm厚优质电解钢板制作，表面抗菌粉末静电喷涂处理，具有抗菌、防锈、耐腐蚀、绝缘性高、附着力强、耐摩擦等技术特点。踢脚线面贴SUS304不锈钢≥1.0mm；
2、台面：采用≥12mm厚医用级复合亚克力人造石，表面经打磨抛光无缝拼接处理；
3、结构配置：主柜(对开掩门，内无层板)+塑料调节脚+人造石面+不锈钢水盆带不锈钢下水器+有机玻璃三边挡水板，不含水龙头；双层门板、窄边框结构；
4、五金配件：阻尼门铰、一体折弯拉手等；
5、工艺要求：所有板件经数控激光切割、模具冲压、数控折弯、焊接、机器打磨而成；表面采用抗菌粉末静电喷涂处理，具有抗菌、防锈、耐腐蚀、绝缘性高、附着力强、耐摩擦等技术特点；
6、尺寸：800×600×1200mm</t>
  </si>
  <si>
    <t>医疗鞋柜-12门</t>
  </si>
  <si>
    <t>1、主要材料：柜体采用≥0.8mm优质冷轧钢板制作，抗菌粉末静电喷涂处理，具有抗菌、防锈、耐腐蚀、绝缘性高、附着力强、耐摩擦等技术特点；
2、结构配置：主柜（12个单开掩门）；窄边框结构；
3、五金配件：电子密码锁、钢制内嵌拉手等；
4、工艺要求：所有板件经数控激光切割、模具冲压、数控折弯、焊接、机器打磨而成；表面采用抗菌粉末静电喷涂处理，具有抗菌、防锈、耐腐蚀、绝缘性高、附着力强、耐摩擦等技术特点；
5、尺寸：910×400×1000mm</t>
  </si>
  <si>
    <t>医疗鞋柜-15门</t>
  </si>
  <si>
    <t>1、主要材料：柜体采用≥0.8mm优质冷轧钢板制作，抗菌粉末静电喷涂处理，具有抗菌、防锈、耐腐蚀、绝缘性高、附着力强、耐摩擦等技术特点；
2、结构配置：主柜（15个单开掩门）；窄边框结构；
3、五金配件：电子密码锁、钢制内嵌拉手等；
4、工艺要求：所有板件经数控激光切割、模具冲压、数控折弯、焊接、机器打磨而成；表面采用抗菌粉末静电喷涂处理，具有抗菌、防锈、耐腐蚀、绝缘性高、附着力强、耐摩擦等技术特点；
5、尺寸：910×400×1950mm</t>
  </si>
  <si>
    <t>医疗鞋柜-18门</t>
  </si>
  <si>
    <t>1、主要材料：柜体采用≥0.8mm优质冷轧钢板制作，抗菌粉末静电喷涂处理，具有抗菌、防锈、耐腐蚀、绝缘性高、附着力强、耐摩擦等技术特点；
2、结构配置：主柜（18个单开掩门）；窄边框结构；
3、五金配件：电子密码锁、钢制内嵌拉手等；
4、工艺要求：所有板件经数控激光切割、模具冲压、数控折弯、焊接、机器打磨而成；表面采用抗菌粉末静电喷涂处理，具有抗菌、防锈、耐腐蚀、绝缘性高、附着力强、耐摩擦等技术特点；
5、尺寸：910×400×1950mm</t>
  </si>
  <si>
    <t>医疗鞋柜-9门</t>
  </si>
  <si>
    <t>1、主要材料：柜体采用≥0.8mm优质冷轧钢板制作，抗菌粉末静电喷涂处理，具有抗菌、防锈、耐腐蚀、绝缘性高、附着力强、耐摩擦等技术特点；
2、结构配置：主柜（9个单开掩门）；窄边框结构；
3、五金配件：电子密码锁、钢制内嵌拉手等；
4、工艺要求：所有板件经数控激光切割、模具冲压、数控折弯、焊接、机器打磨而成；表面采用抗菌粉末静电喷涂处理，具有抗菌、防锈、耐腐蚀、绝缘性高、附着力强、耐摩擦等技术特点；
5、尺寸：910×400×1000mm</t>
  </si>
  <si>
    <t>医疗鞋柜2-15门</t>
  </si>
  <si>
    <t>1、主要材料：柜体采用≥0.8mm优质冷轧钢板制作，抗菌粉末静电喷涂处理，具有抗菌、防锈、耐腐蚀、绝缘性高、附着力强、耐摩擦等技术特点；
2、结构配置：主柜（15个单开掩门）；窄边框结构；
3、五金配件：电子密码锁、钢制内嵌拉手等；
4、工艺要求：所有板件经数控激光切割、模具冲压、数控折弯、焊接、机器打磨而成；表面采用抗菌粉末静电喷涂处理，具有抗菌、防锈、耐腐蚀、绝缘性高、附着力强、耐摩擦等技术特点；
5、尺寸：670×400×1950mm</t>
  </si>
  <si>
    <t>医疗鞋柜2-18门</t>
  </si>
  <si>
    <t>单层脚踏凳</t>
  </si>
  <si>
    <t>1、主要材料：采用SUS304不锈钢板材，具有不易生锈、防蚀等特点；面板≥1.5mm厚SUS304不锈钢板，底部安装橡皮胶套，增加稳定性；
2、结构配置：单层设计，顶层配有防滑垫，四角带有凹槽便于叠放；
3、工艺要求：所有工件经数控激光切割、模具冲压、数控折弯、亚弧焊接、机器打磨、抛光、拉丝而成；
4、尺寸：500×350×100mm</t>
  </si>
  <si>
    <t>单层脚踏凳2</t>
  </si>
  <si>
    <t>1、主要材料：采用SUS304不锈钢板材，具有不易生锈、防蚀等特点；面板≥1.5mm厚SUS304不锈钢板，底部安装橡皮胶套，增加稳定性；
2、结构配置：单层设计，顶层配有防滑垫，四角带有凹槽便于叠放；
3、工艺要求：所有工件经数控激光切割、模具冲压、数控折弯、亚弧焊接、机器打磨、抛光、拉丝而成；
4、尺寸：500×350×150mm</t>
  </si>
  <si>
    <t>单面库房药盘架</t>
  </si>
  <si>
    <t>1、主要材料：整体采用优质冷轧钢板制作，立柱60×40×1.5mm扁管激光割孔成型，底架、可调挂板≥2.0mm，药盘、顶板≥0.8mm，加强管料≥1.0mm；
2、结构配置：主架+6层挂式药盘（每个药盘内标配3块活动格板）；药盘正面配有标签插卡槽，方便更换药品标签；药盘只能上下调节斜挂或平挂，不能前后抽拉；
3、工艺要求：所有板件经数控激光切割、模具冲压、数控折弯、焊接、机器打磨而成；表面采用抗菌粉末静电喷涂处理，具有抗菌、防锈、耐腐蚀、绝缘性高、附着力强、耐摩擦等技术特点；
4、尺寸：950×500×1950mm</t>
  </si>
  <si>
    <t>单面打包台_R</t>
  </si>
  <si>
    <t>1、主要材料：采用样板SUS304不锈钢板材，具有不易生锈、防蚀等特点；台面板、层板、抽盒侧板、抽面板用≥1.0mm；台架采用38×38×1.2mm方管；
2、结构配置：台面+台架（带吊二抽）；
3、五金配件：三节静音导轨；
4、工艺要求：台面为双层结构，内嵌12mm厚多层实芯夹板，再用加强管固定，最后封不锈钢封板，整体能承重耐压性好，可减少撞击时发出的响声；所有工件经数控激光切割、模具冲压、数控折弯、亚弧焊接、机器打磨、抛光、拉丝而成；
5、尺寸：1860×700×800mm</t>
  </si>
  <si>
    <t>单面西药调剂柜</t>
  </si>
  <si>
    <t>1、主要材料：柜体采用≥0.8mm优质电解钢板制作，抗菌粉末静电喷涂处理，具有抗菌、防锈、耐腐蚀、绝缘性高、附着力强、耐摩擦等技术特点；台面采用≥1.0mmSUS304不锈钢制作；
2、结构配置：350mm深上柜（上为2块固定层板，下为2层梯台）+下柜(上4个抽屉，下2对掩门，内各含1块活动层板)+304不锈钢台面；
3、五金配件：阻尼门铰、三节静音导轨、锁具、一体折弯拉手、标签槽等；
4、工艺要求：台面内嵌12mm厚多层实芯夹板，再用加强管固定，最后封不锈钢封板，整体能承重耐压性好，可减少撞击时发出的响声；所有工件经数控激光切割、模具冲压、数控折弯、亚弧焊接、机器打磨、抛光、拉丝而成；
5、尺寸：1860×240/700×(900+1050)mm</t>
  </si>
  <si>
    <t>双层脚踏凳</t>
  </si>
  <si>
    <t>1、主要材料：采用SUS304不锈钢板材，具有不易生锈、防蚀等特点；面板≥1.5mm厚SUS304不锈钢板，底部安装橡皮胶套，增加稳定性；
2、结构配置：双层设计，顶层配有防滑垫，四角带有凹槽便于叠放；
3、工艺要求：所有工件经数控激光切割、模具冲压、数控折弯、亚弧焊接、机器打磨、抛光、拉丝而成；
4、尺寸：450×460×400mm</t>
  </si>
  <si>
    <t>双面库房药盘架</t>
  </si>
  <si>
    <t>1、主要材料：整体采用优质冷轧钢板制作，立柱用60×40×1.5mm扁管激光割孔成型，底架、可调挂板用≥2.0mm，药盘、顶板用≥0.8mm；
2、结构配置：主架+单面6层挂式药盘（双面共12层，每个药盘内标配3块活动格板）；药盘正面配有标签插卡槽，方便更换药品标签；药盘只能上下调节斜挂或平挂，不能前后抽拉；
3、工艺要求：所有板件经数控激光切割、模具冲压、数控折弯、焊接、机器打磨而成；表面采用抗菌粉末静电喷涂处理，具有抗菌、防锈、耐腐蚀、绝缘性高、附着力强、耐摩擦等技术特点；
4、尺寸：950×940×1950mm</t>
  </si>
  <si>
    <t>双面打包台</t>
  </si>
  <si>
    <t>1、主要材料：采用SUS304不锈钢板材，具有不易生锈、防蚀等特点；台面板、层板、抽盒侧板、抽面板用≥1.0mm；立柱采用38×38×1.2mm方管，立柱加强管用38×38×1.0mm方管；
2、结构配置：台面+台架（双面共带8个抽屉）；
3、五金配件：三节静音导轨；
4、工艺要求：台面为双层结构，内嵌12mm厚多层实芯夹板，再用加强管固定，最后封不锈钢封板，整体能承重耐压性好，可减少撞击时发出的响声；所有工件经数控激光切割、模具冲压、数控折弯、亚弧焊接、机器打磨、抛光、拉丝而成；
5、尺寸：1860×1100×800mm</t>
  </si>
  <si>
    <t>双面敷料检查打包台_R</t>
  </si>
  <si>
    <t>1、主要材料：采用SUS304不锈钢板材，具有不易生锈、防蚀等特点；台面板、层板、抽盒侧板、抽面板用≥1.0mm；立柱采用38×38×1.2mm方管，立柱加强管用38×38×1.0mm方管；
2、结构配置：台面（配有检查灯）+台架（双面共带2个吊二抽）；
3、五金配件：三节静音导轨；
4、工艺要求：台面为双层结构，内嵌12mm厚多层实芯夹板，再用加强管固定，最后封不锈钢封板，整体能承重耐压性好，可减少撞击时发出的响声；所有工件经数控激光切割、模具冲压、数控折弯、亚弧焊接、机器打磨、抛光、拉丝而成；
5、尺寸：1860×1100×800mm</t>
  </si>
  <si>
    <t>发药台_R</t>
  </si>
  <si>
    <t>1、台面：采用≥12mm厚医用级复合亚克力人造石，表面经打磨抛光无缝拼接处理；成型厚度40mm;
2、台架/柜体：采用≥16mm厚E0级双饰面实木多层板制作;
3、封边：采用2.0mm厚近色PVC全自动封边工艺，防水、防潮、不变色；
4、结构配置：人造石台面+空格柜（带1件活层）+单抽主机柜+键盘架+工作位；
5、五金配件：阻尼门铰、三节静音路轨、嵌入式拉手、连接件等；
6、尺寸：1350×600×750mm</t>
  </si>
  <si>
    <t>哺乳椅</t>
  </si>
  <si>
    <t>1、面料：优质超纤皮面料，内衬高密度回弹海绵，实木内框架；
2、结构配置：主椅+搁脚凳+升降头枕+腰部电动托腰（高度可调）；带加热功能，遥控控制；
3、尺寸：单人位 根据采购人实际需求提供。</t>
  </si>
  <si>
    <t>器械柜</t>
  </si>
  <si>
    <t>1、主要材料：板件采用≥1.0mmSUS304不锈钢板材，具有不易生锈、防蚀等特点；门框用≥60×20×1.0mm扁管；门板内嵌≥5mm厚钢化玻璃；
2、结构配置：主柜（上下对开玻璃管框掩门；上柜两层为器械剪钳挂架，每层挂架配有6条挂管，每条挂管为Φ8mm圆钢；下柜2件活层）；
3、五金配件：304#不锈钢专用合页；
4、工艺要求：所有工件经数控激光切割、模具冲压、数控折弯、亚弧焊接、机器打磨、抛光、拉丝而成；
5、尺寸：950×400×1950mm</t>
  </si>
  <si>
    <t>地台板</t>
  </si>
  <si>
    <t>1、主要材料：整体采用优质环保塑料制作，安全无异味，使用寿命长；
2、工艺要求：采用一体成型无拼接技术，九脚托盘作加强处理，增大承重能力；具有承重强、耐磨损、防摔落、防潮的特点；
3、尺寸：1100×1100×150mm</t>
  </si>
  <si>
    <t>多功能桌</t>
  </si>
  <si>
    <t>1、岛台柜：：柜体采用≥18mmE0级双饰面实木多层板制作，表面做环保哑光烤漆工艺，门板内嵌5mm长虹玻璃；台面采用≥12mm抗菌岩板制作；设有嵌入式轨道插座；
2、餐桌：柜体采用≥18mmE0级双饰面实木多层板制作，表面做环保哑光烤漆工艺；台面采用≥12mm抗菌岩板制作；餐桌结构（可旋转台面+置物桌脚柜），餐桌以岛台柜为支点可做180°旋转，下方带有静音万向轮；
3、结构配置：岛台柜+旋转餐桌；
4、五金配件：优质嵌入式轨道插座，缓冲门铰、三节静音导轨；
5、尺寸：1500×1200×800mm</t>
  </si>
  <si>
    <t>张</t>
  </si>
  <si>
    <t>多功能沙发</t>
  </si>
  <si>
    <t>1、面料：采用专业医用皮革制作，防磨耐污性好；
2、海绵：采用高密度回弹海绵，可防氧化，防碎，软硬适中，回弹性好，不易变形；根据人体工程学原理设计，坐感舒适；
3、内框架：实木框架，经去皮、烘干、防虫防腐处理；
4、伸缩架：采用优质钢制喷涂四脚落地伸缩脚架；
5、整体结构，靠背和座包联动，平时折叠收起时作沙发使用，座背放平后可成为一张床；
6、尺寸：单人位 根据采购人实际需求提供。</t>
  </si>
  <si>
    <t>多功能沙发2</t>
  </si>
  <si>
    <t>1、面料：采用专业医用皮革制作，防磨耐污性好；
2、海绵：采用高密度回弹海绵，可防氧化，防碎，软硬适中，回弹性好，不易变形；根据人体工程学原理设计，坐感舒适；
3、内框架：实木框架，经去皮、烘干、防虫防腐处理；
4、伸缩架：采用优质钢制喷涂四脚落地伸缩脚架；
5、整体结构，靠背和座包联动，平时折叠收起时作沙发使用，座背放平后可成为一张床；
6、尺寸：三人位 根据采购人实际需求提供。</t>
  </si>
  <si>
    <t>大输液柜</t>
  </si>
  <si>
    <t>1、主要材料：柜体采用≥0.8mm优质电解钢板制作，抗菌粉末静电喷涂处理，具有抗菌、防锈、耐腐蚀、绝缘性高、附着力强、耐摩擦等技术特点；踢脚线面贴SUS304不锈钢≥1.0mm；
2、结构配置：主柜（单掩门，柜内配ABS药盘，标配4大3小药盘，模块调节侧护板，药盘可直挂和倾斜挂，层高可调节，配置限位器）；
3、五金配件：锁具、一字折弯拉手、标签槽；
4、尺寸：500×600×2000mm</t>
  </si>
  <si>
    <t>实验凳</t>
  </si>
  <si>
    <t>1、凳面：采用一次成型玻璃钢制作；
2、结构配置：多功能底盘+电镀气压棒+电镀脚圈+电镀活动五星脚架+静音脚轮；
3、尺寸：根据采购人实际需求提供。</t>
  </si>
  <si>
    <t>层架柜</t>
  </si>
  <si>
    <t>1、台面：采用≥12mm厚医用级复合亚克力人造石，表面经打磨抛光无缝拼接处理；
2、柜体：采用E0级双饰面实木多层板制作，层板厚度≥25mm，其他板件厚度≥16mm；2.0mm厚近色PVC全自动封边；
3、结构配置：无门上柜（1件活动层板）+人造石柜台面+下柜（对开掩门、内置1件活动层板）；外盖门结构；
4、五金配件：阻尼门铰、三节静音路轨、嵌入式拉手、连接件等；
5、尺寸：600×450×1950mm</t>
  </si>
  <si>
    <t>工作台</t>
  </si>
  <si>
    <t>1、台架/柜体：采用≥0.8mm优质电解钢板制作，抗菌粉末静电喷涂处理，具有抗菌、防锈、耐腐蚀、绝缘性高、附着力强、耐摩擦等技术特点。柜体踢脚线面贴SUS304不锈钢，厚度≥1.0mm；柜体窄边框结构；
2、台面：采用≥12mm厚医用级复合亚克力人造石制作，表面经打磨抛光处理；
3、结构配置：台面+挡板+单抽打印机柜+单抽主机柜（主机柜带锁）；双层抽面板、窄边框结构；
4、五金配件：三节静音导轨、锁具、一体折弯拉手等；
5、尺寸：1600×600×850mm</t>
  </si>
  <si>
    <t>工作台2</t>
  </si>
  <si>
    <t>1、台架/柜体：采用≥0.8mm优质电解钢板制作，抗菌粉末静电喷涂处理，具有抗菌、防锈、耐腐蚀、绝缘性高、附着力强、耐摩擦等技术特点。柜体踢脚线面贴SUS304不锈钢，厚度≥1.0mm；柜体窄边框结构；
2、台面：采用≥12mm厚医用级复合亚克力人造石制作，表面经打磨抛光处理，
3、结构配置：台面+挡板+单抽打印机柜+单抽主机柜（主机柜带锁）；双层抽面板、窄边框结构；
4、五金配件：三节静音导轨、锁具、一体折弯拉手等；
5、尺寸：1700×700×850mm</t>
  </si>
  <si>
    <t>床头柜</t>
  </si>
  <si>
    <t>1、主要材料：整体采用E0级双饰面实木多层板制作，面板厚度≥25mm，其他板件厚度≥16mm；
2、封边：采用2.0mm厚近色PVC全自动封边工艺，防水、防潮、不变色；
3、结构配置：主柜（两抽柜）；外盖抽结构，
4、五金配件：三节静音路轨、锁具、嵌入式拉手、连接件等；
5、尺寸：420×420×500mm</t>
  </si>
  <si>
    <t>手术凳</t>
  </si>
  <si>
    <t>1、座面：采用PU聚氨酯发泡一体成型工艺制作，采用螺旋手动方式升降；
2、凳架：SUS304不锈钢四脚凳架，底部设防滑脚垫；
3、尺寸：根据采购人实际需求提供。</t>
  </si>
  <si>
    <t>抚触台</t>
  </si>
  <si>
    <t>1、平台软包：面料采用专业医用皮革制作，防磨耐污性好；内衬高密度回弹海绵，可防氧化，防碎，软硬适中，回弹性好，不易变形；平台支撑架为优质304矩形不锈钢制作；
2、柜体：采用≥18mmE0级双饰面实木多层板制作，踢脚线采用优质≥1.0mm304不锈钢制作，高度120mm，保证防潮存放要求；
3、封边：采用2.0mm厚近色PVC全自动封边工艺，防水、防潮、不变色；
4、结构配置：平台软包+主柜（上抽下掩门+1件活动层板）；外盖门结构；
5、五金配件：阻尼门铰、三节静音路轨、嵌入式拉手+连接件等；
6、尺寸：1900×900×935mm</t>
  </si>
  <si>
    <t>台</t>
  </si>
  <si>
    <t>抚触台2</t>
  </si>
  <si>
    <t>1、平台软包：面料采用专业医用皮革制作，防磨耐污性好；内衬高密度回弹海绵，可防氧化，防碎，软硬适中，回弹性好，不易变形；平台支撑架为优质304矩形不锈钢制作；
2、柜体：采用≥18mmE0级双饰面实木多层板制作，踢脚线采用优质≥1.0mm304不锈钢制作，高度120mm，保证防潮存放要求；
3、封边：采用2.0mm厚近色PVC全自动封边工艺，防水、防潮、不变色；
4、结构配置：平台软包+主柜（上抽下掩门+1件活动层板）；外盖门结构；
5、五金配件：阻尼门铰、三节静音路轨、嵌入式拉手+连接件等；
6、尺寸：1600×900×935mm</t>
  </si>
  <si>
    <t>抚触台3</t>
  </si>
  <si>
    <t>1、平台软包：面料采用专业医用皮革制作，防磨耐污性好；内衬高密度回弹海绵，可防氧化，防碎，软硬适中，回弹性好，不易变形；平台支撑架为优质304矩形不锈钢制作；
2、柜体：采用≥18mmE0级双饰面实木多层板制作，踢脚线采用优质≥1.0mm304不锈钢制作，高度120mm，保证防潮存放要求；
3、封边：采用2.0mm厚近色PVC全自动封边工艺，防水、防潮、不变色；
4、结构配置：平台软包+主柜（上抽下掩门+1件活动层板）；外盖门结构；
5、五金配件：阻尼门铰、三节静音路轨、嵌入式拉手+连接件等；
6、尺寸：2000×1200×850mm</t>
  </si>
  <si>
    <t>拖把车</t>
  </si>
  <si>
    <t>1、主要材料：整体采用SUS304不锈钢板材，具有不易生锈、防蚀等特点；水池板、四周围板用≥1.0mm，挂架管用Φ25×1.0mm不锈钢圆管；
2、结构配置：上挂架（带挂钩）+水池+承重脚轮；水池规格不小于940×440×100mm，池底为锥形；
3、工艺要求：所有工件经数控激光切割、模具冲压、数控折弯、亚弧焊接、机器打磨、抛光、拉丝而成；
4、尺寸：移动式1000×500×1600mm</t>
  </si>
  <si>
    <t>换鞋柜</t>
  </si>
  <si>
    <t>1、柜体：采用≥0.8mm优质冷轧钢板制作，抗菌粉末静电喷涂处理，具有抗菌、防锈、耐腐蚀、绝缘性高、附着力强、耐摩擦等技术特点；
2、坐垫：面料采用专业医用皮革制作，防磨耐污性好；内衬高密度回弹海绵，可防氧化，防碎，软硬适中，回弹性好，不易变形；
4、结构配置：主柜（对开掩门）+软包坐垫；窄边框结构；
5、五金配件：钢制内嵌拉手等；
6、工艺要求：所有板件经数控激光切割、模具冲压、数控折弯、焊接、机器打磨而成；表面采用抗菌粉末静电喷涂处理，具有抗菌、防锈、耐腐蚀、绝缘性高、附着力强、耐摩擦等技术特点；
7、尺寸：1200×400×450mm</t>
  </si>
  <si>
    <t>换鞋柜2</t>
  </si>
  <si>
    <t>1、柜体：采用≥0.8mm优质冷轧钢板制作，抗菌粉末静电喷涂处理，具有抗菌、防锈、耐腐蚀、绝缘性高、附着力强、耐摩擦等技术特点；
2、坐垫：面料采用专业医用皮革制作，防磨耐污性好；内衬高密度回弹海绵，可防氧化，防碎，软硬适中，回弹性好，不易变形；
4、结构配置：主柜（对开掩门）+软包坐垫；窄边框结构；
5、五金配件：钢制内嵌拉手等；
6、工艺要求：所有板件经数控激光切割、模具冲压、数控折弯、焊接、机器打磨而成；表面采用抗菌粉末静电喷涂处理，具有抗菌、防锈、耐腐蚀、绝缘性高、附着力强、耐摩擦等技术特点；
7、尺寸：800×400×450mm</t>
  </si>
  <si>
    <t>三层换鞋柜</t>
  </si>
  <si>
    <t>1、柜体：采用≥0.8mm优质冷轧钢板制作，抗菌粉末静电喷涂处理，具有抗菌、防锈、耐腐蚀、绝缘性高、附着力强、耐摩擦等技术特点；
2、坐垫：面料采用专业医用皮革制作，防磨耐污性好；内衬高密度回弹海绵，可防氧化，防碎，软硬适中，回弹性好，不易变形；
4、结构配置：主柜（对开掩门）+软包坐垫；窄边框结构；
5、五金配件：钢制内嵌拉手等；
6、工艺要求：所有板件经数控激光切割、模具冲压、数控折弯、焊接、机器打磨而成；表面采用抗菌粉末静电喷涂处理，具有抗菌、防锈、耐腐蚀、绝缘性高、附着力强、耐摩擦等技术特点；
7、尺寸：1200×400×600mm</t>
  </si>
  <si>
    <t>换鞋柜3</t>
  </si>
  <si>
    <t>1、柜体：整体采用E0级双饰面实木多层板制作，顶板厚度≥25mm，其他板件厚度≥16mm；
2、封边：采用2.0mm厚近色PVC全自动封边工艺，防水、防潮、不变色；
3、结构配置：无门主柜（四块层板）；
4、尺寸：800×400×1200mm</t>
  </si>
  <si>
    <t>接待沙发1</t>
  </si>
  <si>
    <t>1、面料：采用专业医疗皮革，防磨耐污性好；
2、海绵：采用高密度回弹海绵，可防氧化，防碎，软硬适中，回弹性好，坐感舒适，不易变形；
3、内框架实木框架，采用实木原材经去皮、烘干、防虫防腐处理，坚固耐用；底座采用S形弹簧与高弹绷带形成稳固的网状结构，经久耐用；
4、结构配置：为单人位，两侧带全皮矮扶手；底部配金属脚架；
5、尺寸：850×750×810mm</t>
  </si>
  <si>
    <t>接待沙发2</t>
  </si>
  <si>
    <t>1、面料：采用专业医疗皮革，防磨耐污性好；
2、海绵：采用高密度回弹海绵，可防氧化，防碎，软硬适中，回弹性好，坐感舒适，不易变形；
3、内框架：实木框架，采用实木原材经去皮、烘干、防虫防腐处理，坚固耐用；底座采用S形弹簧与高弹绷带形成稳固的网状结构，经久耐用；
4、结构配置：三人位，两侧带全皮扶手，低扶手；配置不锈钢脚架；
5、尺寸：1900×830×800mm</t>
  </si>
  <si>
    <t>接待沙发3</t>
  </si>
  <si>
    <t>1、面料：采用专业医疗皮革，防磨耐污性好；
2、海绵：采用高密度回弹海绵，可防氧化，防碎，软硬适中，回弹性好，坐感舒适，不易变形；
3、内框架：实木框架，采用实木原材经去皮、烘干、防虫防腐处理，坚固耐用；底座采用S形弹簧与高弹绷带形成稳固的网状结构，经久耐用；
4、结构配置：单人位，两侧带全皮扶手，低扶手；配置不锈钢脚架；
5、尺寸：870×830×800mm</t>
  </si>
  <si>
    <t>接待沙发4</t>
  </si>
  <si>
    <t>1、面料：采用专业医疗皮革，防磨耐污性好；
2、海绵：采用高密度回弹海绵，可防氧化，防碎，软硬适中，回弹性好，坐感舒适，不易变形；
3、内框架实木框架，3、该描述类似广告语，建议改为“采用”实木原材经去皮、烘干、防虫防腐处理，坚固耐用；底座采用S形弹簧与高弹绷带形成稳固的网状结构，经久耐用；
4、椅架:采用白蜡木实木制作，自然木纹，保留天然特性；表面经过净味喷漆处理，5层底油及3层面漆；
5、结构配置：为单人位，无扶手；
6、尺寸：单人位 根据采购人实际需求提供。</t>
  </si>
  <si>
    <t>接待沙发5</t>
  </si>
  <si>
    <t>1、面料：采用专业医疗皮革，防磨耐污性好；
2、海绵：采用高密度回弹海绵，可防氧化，防碎，软硬适中，回弹性好，坐感舒适，不易变形；
3、内框架：实木框架，采用实木原材经去皮、烘干、防虫防腐处理，坚固耐用；底座采用S形弹簧与高弹绷带形成稳固的网状结构，经久耐用；
4、结构配置：三人位，两侧带全皮扶手，中扶手；实木脚；
5、尺寸：三人位 根据采购人实际需求提供。</t>
  </si>
  <si>
    <t>接待茶几</t>
  </si>
  <si>
    <t>1、面板：台面采用≥12mm抗菌岩板制作，良好的防污性能，硬度高，耐刮花，耐腐蚀，使用寿命长；
2、几架：采用白蜡木实木制作，自然木纹，保留天然特性；表面经过净味喷漆处理，5层底油及3层面漆；
3、尺寸：R1000×420mm</t>
  </si>
  <si>
    <t>操作椅</t>
  </si>
  <si>
    <t>1、座垫：面料采用专业医疗皮革，防磨耐污性好；海绵采用高密度回弹海绵，可防氧化，防碎，软硬适中，回弹性好，不易变形；根据人体工程学原理设计，坐感舒适；
2、靠背：采用聚丙烯注塑成型工艺制作；
3、五金配件：环形升降机构+三级气压棒+电镀五星脚架+静音万向脚轮；
4、尺寸：根据采购人实际需求提供。</t>
  </si>
  <si>
    <t>操作组合柜</t>
  </si>
  <si>
    <t>1、主要材料：采用优质电解钢板制作，表面抗菌粉末静电喷涂处理，具有抗菌、防锈、耐腐蚀、绝缘性高、附着力强、耐摩擦等技术特点。背架、层板托架板材厚度≥1.5mm；其他板件厚度≥0.8mm；踢脚线面贴SUS304不锈钢≥1.0mm；柜台面采用≥12mm厚医用级复合亚克力人造石；
2、结构配置：背架+带LED灯带吊柜（对开掩门）+电源开关+操作地柜（上抽下掩门）+人造石面；双层门板/抽面、窄边框结构；
3、五金配件：阻尼门铰、三节静音导轨、锁具、一体折弯拉手、标签槽等；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5、尺寸：1290×650×2000mm</t>
  </si>
  <si>
    <t>无菌架</t>
  </si>
  <si>
    <t>1、主要材料：采用SUS304不锈钢板材，具有不易生锈、防蚀等特点；立柱和层板外框架采用38×38×1.2mm方管；每层为冲孔不锈钢板，采用≥1.0mm；中间加强管用Φ16×1.0mm扁管；中间层板外框管用30×30×1.2mm方管；顶板用≥1.0mm；底部配防滑脚垫；
2、结构配置：背板+两侧格栅侧板+层板（共4层，中间2层和底层板为冲孔不锈钢板），层板底配有两条横向加强管；
3、工艺要求：所有工件经数控激光切割、模具冲压、数控折弯、亚弧焊接、机器打磨、抛光、拉丝而成；
4、尺寸：1200×500×1950mm</t>
  </si>
  <si>
    <t>无菌柜</t>
  </si>
  <si>
    <t>1、主要材料：整体采用优质SUS304≥1.0mm厚不锈钢制造；柜门嵌5mm透明钢化玻璃；                                                                                                      
2、结构配置：主柜（对开掩门、4层活动层板)；双层门板;                                        
3、五金配件：不锈钢C型拉手，阻尼门铰；
4、工艺要求：焊接光滑无毛刺，表面抛光处理，抗腐蚀易清洗，整体设计实用而坚固；
5、尺寸：900×500×2000mm</t>
  </si>
  <si>
    <t>无菌柜2</t>
  </si>
  <si>
    <t>1、主要材料：整体采用优质SUS304不锈钢制造；柜体≥1.0mm，四脚采用Φ38×1.2mm圆管制作，底部配可调胶脚
2、结构/配置：主柜（上中下均分三层，每层配有玻璃边框对开门，每层内配一块层板）；柜底离地高200mm；
3、五金配件：不锈钢C型拉手，阻尼门铰；
4、工艺要求：所有工件经数控激光切割、模具冲压、数控折弯、亚弧焊接、机器打磨、抛光、拉丝而成；
5、尺寸：950×500×1950mm</t>
  </si>
  <si>
    <t>核心产品（“△”）</t>
  </si>
  <si>
    <t>治疗柜</t>
  </si>
  <si>
    <t>1、主要材料：采用优质≥0.8mm厚电解钢板制作，表面抗菌粉末静电喷涂处理，具有抗菌、防锈、耐腐蚀、绝缘性高、附着力强、耐摩擦等技术特点。踢脚线面贴SUS304不锈钢≥1.0mm；柜台面采用≥12mm厚医用级复合亚克力人造石，表面经打磨抛光处理；门板内嵌5mm钢化玻璃；
2、结构配置：上柜（对开钢框玻璃掩门、2块活动层板+）+下柜(双抽双掩门，1块活动层板)+人造石台面；双层门板/抽面、窄边框结构；
3、五金配件：阻尼门铰、三节静音导轨、锁具、一体折弯拉手、标签槽等；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5、尺寸：950×600×1950mm</t>
  </si>
  <si>
    <t>治疗柜2</t>
  </si>
  <si>
    <t>1、主要材料：采用优质≥0.8mm厚电解钢板制作，表面抗菌粉末静电喷涂处理，具有抗菌、防锈、耐腐蚀、绝缘性高、附着力强、耐摩擦等技术特点。踢脚线面贴SUS304不锈钢≥1.0mm；柜台面采用≥12mm厚医用级复合亚克力人造石，表面经打磨抛光处理；门板内嵌5mm钢化玻璃；
2、结构配置：350mm深上柜（对开钢框玻璃掩门、2块活动层板+）+350mm深下柜(双抽双掩门，1块活动层板)+人造石台面；双层门板/抽面、窄边框结构；
3、五金配件：阻尼门铰、三节静音导轨、锁具、一体折弯拉手、标签槽等；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5、尺寸：800×650×2000mm</t>
  </si>
  <si>
    <t>治疗柜3</t>
  </si>
  <si>
    <t>1、主要材料：采用优质≥0.8mm厚电解钢板制作，表面抗菌粉末静电喷涂处理，具有抗菌、防锈、耐腐蚀、绝缘性高、附着力强、耐摩擦等技术特点。踢脚线面贴SUS304不锈钢≥1.0mm；柜台面采用≥12mm厚医用级复合亚克力人造石，表面经打磨抛光处理；门板内嵌5mm钢化玻璃；
2、结构配置：350mm深上柜（对开钢框玻璃掩门、2块活动层板）+350mm深中柜（空格）+下柜(双抽双掩门，门内1块活动层板)+人造石台面；双层门板/抽面、窄边框结构；
3、五金配件：阻尼门铰、三节静音导轨、锁具、一体折弯拉手、标签槽等；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5、尺寸：950×650×2000mm</t>
  </si>
  <si>
    <t>治疗柜4</t>
  </si>
  <si>
    <t>1、主要材料：采用优质≥0.8mm厚电解钢板制作，表面抗菌粉末静电喷涂处理，具有抗菌、防锈、耐腐蚀、绝缘性高、附着力强、耐摩擦等技术特点。踢脚线面贴SUS304不锈钢≥1.0mm；柜台面采用≥12mm厚医用级复合亚克力人造石，表面经打磨抛光处理；
2、结构配置：上柜（对开钢框玻璃掩门、2块活动层板）+下柜(双抽双掩门，门内1块活动层板)+人造石台面；双层门板/抽面、窄边框结构；
3、五金配件：阻尼门铰、三节静音路轨、锁具、一体折弯拉手、标签槽等；
4、工艺要求：所有板件经数控激光切割、模具冲压、数控折弯、焊接、机器打磨而成；表面采用抗菌粉末静电喷涂处理，具有抗菌、防锈、耐腐蚀、绝缘性高、附着力强、耐摩擦等技术特点；
5、尺寸：950×600×1950mm</t>
  </si>
  <si>
    <t>不锈钢清洗柜5</t>
  </si>
  <si>
    <t>1、主要材料：采用≥1.0mmSUS304不锈钢板材，具有不易生锈、防蚀等特点；台面上配有滤水架；
2、结构配置：主柜+2个水池（水池规格≥450×350×250mm）+滤水架+2个水龙头；双层门板；
3、五金配件：不锈钢C型拉手、阻尼门铰、不锈钢鹅颈高抛龙头；
4、工艺要求：所有工件经数控激光切割、模具冲压、数控折弯、亚弧焊接、机器打磨、抛光、拉丝而成；
5、尺寸：1200×550×1050mm</t>
  </si>
  <si>
    <t>灭菌篮筐</t>
  </si>
  <si>
    <t>1、主要材料：采用304不锈钢板材，具有不易生锈、防蚀等特点；格网采用Φ3.2mm不锈钢圆线；顶部框架和底部加强采用Φ5mm不锈钢圆线；
2、结构配置：整篮采用钢线织网而成；
3、工艺要求：所有工件经数控激光切割、模具冲压、数控折弯、亚弧焊接、机器打磨、抛光、拉丝而成；
4、尺寸：535×380×195mm</t>
  </si>
  <si>
    <t>灭菌篮筐存放架</t>
  </si>
  <si>
    <t>1、主要材料：采用304不锈钢板材，具有不易生锈、防蚀等特点；立柱采用≥50×50×1.2mm方管；层托管采用≥50×25×1.2mm扁管；
2、结构配置：整架分3列5排，共可放15个不锈钢灭菌网篮筐（不含篮筐）；
3、工艺要求：所有工件经数控激光切割、模具冲压、数控折弯、亚弧焊接、机器打磨、抛光、拉丝而成；
4、尺寸：1680×460×1650mm</t>
  </si>
  <si>
    <t>灭菌篮筐运送车</t>
  </si>
  <si>
    <t>1、主要材料：采用304不锈钢板材，具有不易生锈、防蚀等特点：主架采用Φ25×1.2mm不锈钢圆管；U型托条采用1.2mm不锈钢板压折成形；底板采用1.0mm不锈钢板压折成形；前后锁用Φ10圆钢；
2、结构配置：整架分5层，共可放5个不锈钢灭菌篮筐，主架前后都配Φ10圆钢长条锁，一锁就可把5篮全部锁住，这样可保证推车在推动时，篮筐不会掉出（不含篮筐）；底部配4寸平底脚轮，带刹车装置；
3、工艺要求：所有工件经数控激光切割、模具冲压、数控折弯、亚弧焊接、机器打磨、抛光、拉丝而成；
4、尺寸：650×400×1650mm</t>
  </si>
  <si>
    <t>理疗床</t>
  </si>
  <si>
    <t>1、床架：采用≥60×60mm橡胶木实木，经去皮、烘干、防虫防腐处理，自然木纹，保留天然特性；表面经过净味喷漆处理，5层底油及3层面漆；
2、储物柜：采用≥16mm厚E0级双饰面实木多层板制作，表面经过净味喷漆处理，5层底油及3层面漆；
3、软包：面料采用西皮，防磨耐污性好；海绵采用高密度回弹海绵，可防氧化，防碎，软硬适中，回弹性好，不易变形；
4、结构配置：实木床架+储物柜+≥100mm厚西皮软包垫（头部位置开圆孔）；
5、尺寸：1900×700×650mm</t>
  </si>
  <si>
    <t>电子存包柜</t>
  </si>
  <si>
    <t>1、设备整体尺寸高度≥2000（mm），宽度≥650（mm），深度≥450（mm），配备16个单个柜门（其中有两个大格口），柜门数量可按需定制；
2、柜体：采用≥0.8mm厚优质冷轧钢板制作，表面采用抗菌粉末喷涂，柜体与门板贴有缓冲垫，降低关闭时产生噪音；
3、智能电子锁：360度防撬、防软片插入，开锁时可自动弹开柜门，配置柜体带有一体响应式应急锁，应急锁采用隐形设计，轻按打开锁口，以便特殊情况下管理员手动机械一键通开整柜所有格口；
4、开柜权限：设有临时卡/VIP卡开柜、优先分配柜格、特殊身份绑定柜格、后台查看；
5、其他功能：设备同时支持有线或无线连接方式；
6、尺寸：325/650×450×2000mm</t>
  </si>
  <si>
    <t>电子存包柜2</t>
  </si>
  <si>
    <t>1、设备整体尺寸高度≥2000（mm），宽度≥1625（mm），深度≥450（mm），配备32个单个柜门（其中有两个大格口），柜门数量可按需定制；
2、柜体：采用≥0.8mm厚优质冷轧钢板制作，表面采用抗菌粉末喷涂，柜体与门板贴有缓冲垫，降低关闭时产生噪音；
3、智能电子锁：360度防撬、防软片插入，开锁时可自动弹开柜门，配置柜体带有一体响应式应急锁，应急锁采用隐形设计，轻按打开锁口，以便特殊情况下管理员手动机械一键通开整柜所有格口；
4、开柜权限：设有临时卡/VIP卡开柜、优先分配柜格、特殊身份绑定柜格、后台查看；
5、其他功能：设备同时支持有线或无线连接方式；
6、尺寸：325/650/650×450×2000mm</t>
  </si>
  <si>
    <t>移动式敷料架</t>
  </si>
  <si>
    <t>1、主要材料：采用SUS304不锈钢板材，具有不易生锈、防蚀等特点；立柱采用38×38×1.2mm方管，层板、后板用≥1.0mm厚，两侧格条管：Φ16×1.0mm圆管；
2、结构配置：敷料架均分3层，每层层板底配有两条加强，两侧各用5条Φ16mm圆管坚向隔条，有后板；脚架带4个4寸脚轮（2个带刹车）；
3、工艺要求：所有工件经数控激光切割、模具冲压、数控折弯、亚弧焊接、机器打磨、抛光、拉丝而成；
4、尺寸：950×550×1950mm</t>
  </si>
  <si>
    <t>移动式无菌架</t>
  </si>
  <si>
    <t>1、主要材料：采用SUS304不锈钢板材，具有不易生锈、防蚀等特点；立柱采用38×38×1.2mm方管，层板用≥1.0mm厚；
2、结构配置：移动式无菌架共均分4层，每层层板底配有1条加强；底部带4个4寸脚轮（2个带刹车）；
3、工艺要求：所有工件经数控激光切割、模具冲压、数控折弯、亚弧焊接、机器打磨、抛光、拉丝而成；
4、尺寸：1200×500×1950mm</t>
  </si>
  <si>
    <t>移动式无菌架2</t>
  </si>
  <si>
    <t>1、主要材料：采用SUS304不锈钢板材，具有不易生锈、防蚀等特点；立柱采用38×38×1.2mm方管，每层为竖向内格条管，采用Φ10×1.0mm圆管，中间加强管用Φ16×1.0mm扁管，中间层板外框管用30×30×1.2mm,方管，顶、底板用≥1.0mm；
2、结构配置：无菌架共均分4层，中间三层为圆管格条，顶、底板为平板式，每层层板底配有两条横向加强管；底部带4个4寸脚轮（2个带刹车）；
3、工艺要求：所有工件经数控激光切割、模具冲压、数控折弯、亚弧焊接、机器打磨、抛光、拉丝而成；
4、尺寸：1200×550×1950mm</t>
  </si>
  <si>
    <t>等候椅</t>
  </si>
  <si>
    <t>1、座包/靠背/扶手：面料采用专业医疗皮革，防磨耐污性好；海绵采用高密度回弹海绵，可防氧化，防碎，软硬适中，回弹性好，不易变形；底框采用E0级实木多层板，经过净味喷漆处理，5层底油及3层面漆；
2、脚架：Φ32×1.5钢制喷涂脚架；
3、结构配置：每个带靠背的座位，使用4mm厚实心钢板折弯加强承压能力；座包为独立软包设计；
4、尺寸：2160×580×710mm</t>
  </si>
  <si>
    <t>异型等候沙发1</t>
  </si>
  <si>
    <t>1、面料：采用专业医疗皮革，防磨耐污性好；
2、海绵：采用高密度回弹海绵，可防氧化，防碎，软硬适中，回弹性好，不易变形；
3、内框架：实木框架，采用实木原材经去皮、烘干、防虫防腐处理，坚固耐用；S形弹簧与高弹绷带形成稳固的网状结构，经久耐用；
4、结构配置：沙发无扶手，左侧无靠背右侧带靠背；底部配实心镜面不锈钢底座；
5、尺寸：标准三人位 根据采购人实际需求提供。</t>
  </si>
  <si>
    <t>异型等候沙发2</t>
  </si>
  <si>
    <t>1、面料：采用专业医疗皮革，防磨耐污性好；
2、海绵：采用高密度回弹海绵，可防氧化，防碎，软硬适中，回弹性好，不易变形；
3、内框架：实木框架，采用实木原材经去皮、烘干、防虫防腐处理，坚固耐用；S形弹簧与高弹绷带形成稳固的网状结构，经久耐用；
4、结构配置：沙发无扶手，带靠背；底部配实心镜面不锈钢脚架；
5、尺寸：标准三人位 根据采购人实际需求提供。</t>
  </si>
  <si>
    <t>异型等候沙发3</t>
  </si>
  <si>
    <t>1、面料：采用专业医疗皮革，防磨耐污性好；
2、海绵：采用高密度回弹海绵，可防氧化，防碎，软硬适中，回弹性好，不易变形；
3、内框架：实木框架，采用实木原材经去皮、烘干、防虫防腐处理，坚固耐用；S形弹簧与高弹绷带形成稳固的网状结构，经久耐用；
4、结构配置：沙发为分段式组合设计，可随意组合造型，带靠背无扶手；底部配喷涂钢脚架；
5、尺寸：弧长4720×600×780mm</t>
  </si>
  <si>
    <t>等候沙发1</t>
  </si>
  <si>
    <t>1、面料：采用专业医疗皮革，防磨耐污性好；
2、海绵：采用高密度回弹海绵，可防氧化，防碎，软硬适中，回弹性好，不易变形；
3、内框架：实木框架，采用实木原材经去皮、烘干、防虫防腐处理，坚固耐用；S形弹簧与高弹绷带形成稳固的网状结构，经久耐用；
4、结构配置：白蜡木实木扶手及脚架，经过净味喷漆处理，5层底油及3层面漆；
5、尺寸：单人位 根据采购人实际需求提供。</t>
  </si>
  <si>
    <t>等候沙发2</t>
  </si>
  <si>
    <t>1、面料：采用专业医疗皮革，防磨耐污性好；
2、海绵：采用高密度回弹海绵，可防氧化，防碎，软硬适中，回弹性好，不易变形；
3、内框架：实木框架，采用实木原材经去皮、烘干、防虫防腐处理，坚固耐用；S形弹簧与高弹绷带形成稳固的网状结构，经久耐用；
4、结构配置：白蜡木实木扶手及脚架，经过净味喷漆处理，5层底油及3层面漆；
5、尺寸：双人位 根据采购人实际需求提供。</t>
  </si>
  <si>
    <t>等候沙发直中几</t>
  </si>
  <si>
    <t>1、主要材料：几体采用E0级实木多层板为基材，表面贴白蜡木科技木皮处理，木纹顺畅自然；经过净味喷漆处理，5层底油及3层面漆；台面为仿天然石；
2、结构配置：不配脚架，适用于等候沙发间的衔接，吊在沙发之间；
3、尺寸：500×600×200mm</t>
  </si>
  <si>
    <t>等候沙发直边几</t>
  </si>
  <si>
    <t>1、主要材料：几体采用E0级实木多层板为基材，表面贴白蜡木科技木皮处理，木纹顺畅自然；经过净味喷漆处理，5层底油及3层面漆；台面为仿天然石；
2、结构配置：左边配脚架右边无脚架，右边与等候沙发衔接；
3、尺寸：500×600×350mm</t>
  </si>
  <si>
    <t>篮筐转运架1</t>
  </si>
  <si>
    <t>1、主要材料：采用≥1.0mm厚SUS304不锈钢板材，Φ25立柱带L型层托架，底下不锈钢平板； 
2、结构配置：单面可容5只标准篮筐，可直接推入无人无菌电梯发放无菌物品 ，配置3寸超级人造胶医用万向静音轮（2个带刹车）， 用于无菌物品的运输、发放；包含篮筐；
3、尺寸：555×460×1620mm</t>
  </si>
  <si>
    <t>篮筐转运架2</t>
  </si>
  <si>
    <t>1、采用SUS304不锈钢国标≥1.0mm，Φ25立柱带L型层托架，底下不锈钢平板； 
2、挡板结构设计,保证篮筐不滑落；双面可容10只标准篮筐，可直接推入无人无菌电梯发放无菌物品 ，配置3寸超级人造胶医用静音轮（万向，2个带刹车） 用于无菌物品的运输、发放；包含篮筐。
3、尺寸：555×580×1620mm</t>
  </si>
  <si>
    <t>茶几</t>
  </si>
  <si>
    <t>1、几面：采用仿天然石制作；
2、几架：采用E0级实木多层板为基材，表面贴白蜡木科技木皮处理，木纹顺畅自然；经过净味喷漆处理，5层底油及3层面漆；
3、脚架：采用钢制脚架，表面经抗菌粉末静电喷涂处理；
4、尺寸：1200×600×380mm</t>
  </si>
  <si>
    <t>茶几2</t>
  </si>
  <si>
    <t>1、几面：采用E0级高密度板制作，防潮、耐高温，实用性高；表面贴胡桃木皮，表面经过净味喷漆处理，5层底油及3层面漆；
2、脚架：白蜡木实木脚架，采用实木原材经去皮、烘干、防虫防腐处理，坚固耐用；
3、尺寸：1260×650×420mm</t>
  </si>
  <si>
    <t>茶几3</t>
  </si>
  <si>
    <t>1、几面：采用E0级高密度板制作，防潮、耐高温，实用性高；表面经过净味喷漆处理，5层底油及3层面漆；倒圆锥形设计；
2、脚柱：圆锥形设计，表面贴胡桃木皮，经过净味喷漆处理，5层底油及3层面漆；
3、尺寸：550×550×550mm</t>
  </si>
  <si>
    <t>药浴桶</t>
  </si>
  <si>
    <t>1、主要材料：整体采用香柏木制作，表面做防水处理；
2、结构配置：边缘两侧带不锈钢扶手（可选是否需要），顶部带可拆卸软头靠枕；内带人体工学靠背凳；底部弹跳式阀门；
3、尺寸：1500×620×500mm</t>
  </si>
  <si>
    <t>谈话台</t>
  </si>
  <si>
    <t>1、台面：采用≥25mm厚E0级双饰面实木多层板制作，采用见光面为2.0mm厚全自动封边工艺，防水、防潮、不变色；
2、台架：配置40×40mm口字形脚架，表面采用抗菌粉末静电喷涂处理；底部配防滑脚垫；
3、尺寸：1200×300×750mm</t>
  </si>
  <si>
    <t>谈话台2</t>
  </si>
  <si>
    <t>1、台面：采用≥25mm厚E0级双饰面实木多层板制作，采用见光面为2.0mm厚全自动封边工艺，防水、防潮、不变色；
2、台架：配置40×40mm口字形脚架，表面采用抗菌粉末静电喷涂处理；底部配防滑脚垫；
3、尺寸：1500×300×750mm</t>
  </si>
  <si>
    <t>贵重智能药品柜</t>
  </si>
  <si>
    <t>1、主要材料：采用≥0.8mm电解钢板，抗冲击、耐腐蚀、防潮、防霉。柜体与门板贴有缓冲垫，防止关闭时产生噪音；表面采用抗菌粉末喷涂，涂层膜厚度均匀，内外一致，耐撞击，抗菌；
2、结构配置：
a、主机性能：CPU要求采用6核及以上处理器（≥1.8GHz），内存要求4GB及以上，储存要求32G及以上; 操作系统要求Android7.1及以上；屏幕尺寸≥15英寸及以上PCAP多点触摸屏，屏幕分辨要求≥1080*1920；可通过人脸识别、指纹识别、工卡与账号密码登录开启；b、柜门配置电磁锁，磁力不低于50Kg；c、柜内采用资产管理专用超高频RFID识别模组，不低于4组天线，实现整柜盘点时，400个标签≤3S；d、系统在人员登录后自动开锁，关门自动盘点，数据上传时间≤3秒；客户端系统支持个人历史操作信息可查询，管理员可通过客户端进行存取、权限与个人信息等操作；e、具备紧急开门和手动紧急开门功能；智能柜应具有关于射频标签读取等功能。f、柜门打开自动开启柜内照明；g、柜内采用隔板、抽屉、挂钩、储物容器等灵活配置；
3、设备整体尺寸要求高度≥1900（mm），主柜宽度≥900（mm），深度≥600（mm）；
4、尺寸：900×600×1900mm</t>
  </si>
  <si>
    <t>贵重药品柜</t>
  </si>
  <si>
    <t>1、主要材料：采用优质≥0.8mm厚电解钢板制作，表面抗菌粉末静电喷涂处理，具有抗菌、防锈、耐腐蚀、绝缘性高、附着力强、耐摩擦等技术特点。
2、结构配置：药柜均分上下两对掩门，上下门各配两把锁，一把为普通锁，一把为密码锁；
3、工艺要求：所有板件经数控激光切割、模具冲压、数控折弯、焊接、机器打磨而成；表面采用抗菌粉末静电喷涂处理，具有抗菌、防锈、耐腐蚀、绝缘性高、附着力强、耐摩擦等技术特点；
4、尺寸：950×400×1950mm</t>
  </si>
  <si>
    <t>铅衣架</t>
  </si>
  <si>
    <t>1、主要材料：采用SUS304不锈钢板材，具有不易生锈、防蚀等特点；立柱采用≥30×30×1.2mm方管；底托管采用≥38×38×1.2mm方管；衣架管采用Φ12.7实心管；
2、结构配置：2个衣架、3个挂衣钩、承重钢架组成；
3、工艺要求：所有工件经数控激光切割、模具冲压、数控折弯、亚弧焊接、机器打磨、抛光、拉丝而成；
4、尺寸：300×500×1600mm</t>
  </si>
  <si>
    <t>阅片桌</t>
  </si>
  <si>
    <t>1、台面：采用≥25mm厚E0级双饰面实木多层板制作，采用见光面为2.0mm厚全自动封边工艺，防水、防潮、不变色；
2、台架：钢制台架（工型脚+挡板），表面采用环保室内型环氧树脂静电粉末喷涂处理；
3、结构配置：主台+吊式主机柜（可升降）+三面吸音屏风隔板；
4、五金配件：桌面线盒、塑料键盘架、连接件等；
5、尺寸：1400×600×750/1100mm</t>
  </si>
  <si>
    <t>阅片桌2</t>
  </si>
  <si>
    <t>1、台面：采用≥25mm厚E0级双饰面实木多层板制作，采用见光面为2.0mm厚全自动封边工艺，防水、防潮、不变色；
2、台架：钢制台架（工型脚+挡板），表面采用环保室内型环氧树脂静电粉末喷涂处理；
3、结构配置：主台+吊式主机柜（可升降）+三面吸音屏风隔板；
4、五金配件：桌面线盒、塑料键盘架、连接件等；
5、尺寸：1600×600×750/1100mm</t>
  </si>
  <si>
    <t>防爆柜</t>
  </si>
  <si>
    <t>1、主要材料：整体采用厚度≥0.8mm优质双层冷轧钢板制作， 两层钢板之间相隔有≥38mm的防火层，可有效隔离热源；柜子内外环氧树脂静电喷涂， 表面光亮耐腐蚀
2、结构配置：防溢漏式层板可在每6CM层档上下之间调节， 两侧焊接的层板支撑挂钩稳固可靠，装设有防闭火装置的通风口（在柜体侧面）；柜身底部有50mmM防漏液槽，防止化学液体的外溢；柜身设有静电接地传导端口， 方便连接静电接地线；
3、五金配件：三点联动式门锁， 双人双锁管理、警示标签；
4、尺寸：430×430×560mm</t>
  </si>
  <si>
    <t>麻醉凳</t>
  </si>
  <si>
    <t>1、坐垫/靠背：采用PU聚氨酯发泡一体成型工艺制作；
2、五金配件：140行程三级气杆、560直径尼龙五星脚+防滑万向脚轮；
3、尺寸：根据采购人实际需求提供。</t>
  </si>
  <si>
    <t>双层木床</t>
  </si>
  <si>
    <t>1、主要材料：立柱、床侧枋、梯子枋采用松木实木制作，表面经过净味喷漆处理，5层底油及3层面漆；底架、床板面采用杉木枋，杉木枋；
2、结构配置：四腿落地，榫卯结构；实木床架+杉木床板2套，不含床垫；
3、工艺要求：要求结构扎实稳固不摇晃；
4、尺寸：1990×1000×1780mm</t>
  </si>
  <si>
    <t>双层木床2</t>
  </si>
  <si>
    <t>1、主要材料：立柱、床侧枋、梯子枋采用松木实木制作，表面经过净味喷漆处理，5层底油及3层面漆；底架、床板面采用杉木枋，杉木枋；
2、结构配置：四腿落地，榫卯结构；实木床架+杉木床板2套，不含床垫；
3、工艺要求：要求结构扎实稳固不摇晃；
4、尺寸：1990×1200×1780mm</t>
  </si>
  <si>
    <t>实木椅</t>
  </si>
  <si>
    <t>1、主要材料：采用橡胶木实木，经去皮、烘干、防虫防腐处理，自然木纹，保留天然特性；表面经过净味喷漆处理，5层底油及3层面漆；
2、结构配置：四脚带靠背，靠背贴合脊背弧度，整装工艺，榫卯结构；
3、尺寸：435×530×830mm</t>
  </si>
  <si>
    <t>合计（1+2+...+193）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</si>
</sst>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0"/>
    </font>
    <font>
      <b/>
      <sz val="10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4" fillId="0" borderId="0"/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177" fontId="3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10" fillId="0" borderId="1" xfId="0" applyFont="1" applyFill="1" applyBorder="1" applyAlignment="1" applyProtection="1">
      <alignment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5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样式 1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9.jpeg"/><Relationship Id="rId98" Type="http://schemas.openxmlformats.org/officeDocument/2006/relationships/image" Target="media/image98.jpeg"/><Relationship Id="rId97" Type="http://schemas.openxmlformats.org/officeDocument/2006/relationships/image" Target="media/image97.jpeg"/><Relationship Id="rId96" Type="http://schemas.openxmlformats.org/officeDocument/2006/relationships/image" Target="media/image96.png"/><Relationship Id="rId95" Type="http://schemas.openxmlformats.org/officeDocument/2006/relationships/image" Target="media/image95.jpeg"/><Relationship Id="rId94" Type="http://schemas.openxmlformats.org/officeDocument/2006/relationships/image" Target="media/image94.jpeg"/><Relationship Id="rId93" Type="http://schemas.openxmlformats.org/officeDocument/2006/relationships/image" Target="media/image93.jpeg"/><Relationship Id="rId92" Type="http://schemas.openxmlformats.org/officeDocument/2006/relationships/image" Target="media/image92.jpeg"/><Relationship Id="rId91" Type="http://schemas.openxmlformats.org/officeDocument/2006/relationships/image" Target="media/image91.jpeg"/><Relationship Id="rId90" Type="http://schemas.openxmlformats.org/officeDocument/2006/relationships/image" Target="media/image90.jpeg"/><Relationship Id="rId9" Type="http://schemas.openxmlformats.org/officeDocument/2006/relationships/image" Target="media/image10.jpeg"/><Relationship Id="rId89" Type="http://schemas.openxmlformats.org/officeDocument/2006/relationships/image" Target="media/image89.jpeg"/><Relationship Id="rId88" Type="http://schemas.openxmlformats.org/officeDocument/2006/relationships/image" Target="media/image88.jpeg"/><Relationship Id="rId87" Type="http://schemas.openxmlformats.org/officeDocument/2006/relationships/image" Target="media/image87.jpeg"/><Relationship Id="rId86" Type="http://schemas.openxmlformats.org/officeDocument/2006/relationships/image" Target="media/image86.jpeg"/><Relationship Id="rId85" Type="http://schemas.openxmlformats.org/officeDocument/2006/relationships/image" Target="media/image85.jpeg"/><Relationship Id="rId84" Type="http://schemas.openxmlformats.org/officeDocument/2006/relationships/image" Target="media/image84.jpeg"/><Relationship Id="rId83" Type="http://schemas.openxmlformats.org/officeDocument/2006/relationships/image" Target="media/image83.jpeg"/><Relationship Id="rId82" Type="http://schemas.openxmlformats.org/officeDocument/2006/relationships/image" Target="media/image82.jpeg"/><Relationship Id="rId81" Type="http://schemas.openxmlformats.org/officeDocument/2006/relationships/image" Target="media/image81.jpeg"/><Relationship Id="rId80" Type="http://schemas.openxmlformats.org/officeDocument/2006/relationships/image" Target="media/image80.jpeg"/><Relationship Id="rId8" Type="http://schemas.openxmlformats.org/officeDocument/2006/relationships/image" Target="media/image9.jpeg"/><Relationship Id="rId79" Type="http://schemas.openxmlformats.org/officeDocument/2006/relationships/image" Target="media/image79.jpeg"/><Relationship Id="rId78" Type="http://schemas.openxmlformats.org/officeDocument/2006/relationships/image" Target="media/image78.jpeg"/><Relationship Id="rId77" Type="http://schemas.openxmlformats.org/officeDocument/2006/relationships/image" Target="media/image77.jpeg"/><Relationship Id="rId76" Type="http://schemas.openxmlformats.org/officeDocument/2006/relationships/image" Target="media/image76.jpeg"/><Relationship Id="rId75" Type="http://schemas.openxmlformats.org/officeDocument/2006/relationships/image" Target="media/image75.jpeg"/><Relationship Id="rId74" Type="http://schemas.openxmlformats.org/officeDocument/2006/relationships/image" Target="media/image74.jpeg"/><Relationship Id="rId73" Type="http://schemas.openxmlformats.org/officeDocument/2006/relationships/image" Target="media/image73.png"/><Relationship Id="rId72" Type="http://schemas.openxmlformats.org/officeDocument/2006/relationships/image" Target="media/image72.jpeg"/><Relationship Id="rId71" Type="http://schemas.openxmlformats.org/officeDocument/2006/relationships/image" Target="media/image71.jpeg"/><Relationship Id="rId70" Type="http://schemas.openxmlformats.org/officeDocument/2006/relationships/image" Target="media/image70.jpeg"/><Relationship Id="rId7" Type="http://schemas.openxmlformats.org/officeDocument/2006/relationships/image" Target="media/image8.jpeg"/><Relationship Id="rId69" Type="http://schemas.openxmlformats.org/officeDocument/2006/relationships/image" Target="media/image69.jpeg"/><Relationship Id="rId68" Type="http://schemas.openxmlformats.org/officeDocument/2006/relationships/image" Target="media/image68.jpeg"/><Relationship Id="rId67" Type="http://schemas.openxmlformats.org/officeDocument/2006/relationships/image" Target="media/image67.jpeg"/><Relationship Id="rId66" Type="http://schemas.openxmlformats.org/officeDocument/2006/relationships/image" Target="media/image66.jpeg"/><Relationship Id="rId65" Type="http://schemas.openxmlformats.org/officeDocument/2006/relationships/image" Target="media/image65.jpeg"/><Relationship Id="rId64" Type="http://schemas.openxmlformats.org/officeDocument/2006/relationships/image" Target="media/image64.jpeg"/><Relationship Id="rId63" Type="http://schemas.openxmlformats.org/officeDocument/2006/relationships/image" Target="media/image63.jpeg"/><Relationship Id="rId62" Type="http://schemas.openxmlformats.org/officeDocument/2006/relationships/image" Target="media/image62.jpeg"/><Relationship Id="rId61" Type="http://schemas.openxmlformats.org/officeDocument/2006/relationships/image" Target="media/image61.jpeg"/><Relationship Id="rId60" Type="http://schemas.openxmlformats.org/officeDocument/2006/relationships/image" Target="media/image60.jpeg"/><Relationship Id="rId6" Type="http://schemas.openxmlformats.org/officeDocument/2006/relationships/image" Target="media/image7.jpeg"/><Relationship Id="rId59" Type="http://schemas.openxmlformats.org/officeDocument/2006/relationships/image" Target="media/image59.jpeg"/><Relationship Id="rId58" Type="http://schemas.openxmlformats.org/officeDocument/2006/relationships/image" Target="media/image58.png"/><Relationship Id="rId57" Type="http://schemas.openxmlformats.org/officeDocument/2006/relationships/image" Target="media/image57.jpeg"/><Relationship Id="rId56" Type="http://schemas.openxmlformats.org/officeDocument/2006/relationships/image" Target="media/image56.jpeg"/><Relationship Id="rId55" Type="http://schemas.openxmlformats.org/officeDocument/2006/relationships/image" Target="media/image55.jpeg"/><Relationship Id="rId54" Type="http://schemas.openxmlformats.org/officeDocument/2006/relationships/image" Target="media/image54.jpeg"/><Relationship Id="rId53" Type="http://schemas.openxmlformats.org/officeDocument/2006/relationships/image" Target="media/image53.jpeg"/><Relationship Id="rId52" Type="http://schemas.openxmlformats.org/officeDocument/2006/relationships/image" Target="media/image52.pn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6.jpeg"/><Relationship Id="rId49" Type="http://schemas.openxmlformats.org/officeDocument/2006/relationships/image" Target="media/image49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5.jpe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" Type="http://schemas.openxmlformats.org/officeDocument/2006/relationships/image" Target="media/image37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pn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4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NULL" TargetMode="External"/><Relationship Id="rId22" Type="http://schemas.openxmlformats.org/officeDocument/2006/relationships/image" Target="media/image23.pn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1" Type="http://schemas.openxmlformats.org/officeDocument/2006/relationships/image" Target="media/image151.jpeg"/><Relationship Id="rId150" Type="http://schemas.openxmlformats.org/officeDocument/2006/relationships/image" Target="media/image150.jpeg"/><Relationship Id="rId15" Type="http://schemas.openxmlformats.org/officeDocument/2006/relationships/image" Target="media/image16.jpeg"/><Relationship Id="rId149" Type="http://schemas.openxmlformats.org/officeDocument/2006/relationships/image" Target="media/image149.jpeg"/><Relationship Id="rId148" Type="http://schemas.openxmlformats.org/officeDocument/2006/relationships/image" Target="media/image148.jpeg"/><Relationship Id="rId147" Type="http://schemas.openxmlformats.org/officeDocument/2006/relationships/image" Target="media/image147.png"/><Relationship Id="rId146" Type="http://schemas.openxmlformats.org/officeDocument/2006/relationships/image" Target="media/image146.png"/><Relationship Id="rId145" Type="http://schemas.openxmlformats.org/officeDocument/2006/relationships/image" Target="media/image145.jpeg"/><Relationship Id="rId144" Type="http://schemas.openxmlformats.org/officeDocument/2006/relationships/image" Target="media/image144.jpeg"/><Relationship Id="rId143" Type="http://schemas.openxmlformats.org/officeDocument/2006/relationships/image" Target="media/image143.jpeg"/><Relationship Id="rId142" Type="http://schemas.openxmlformats.org/officeDocument/2006/relationships/image" Target="media/image142.jpeg"/><Relationship Id="rId141" Type="http://schemas.openxmlformats.org/officeDocument/2006/relationships/image" Target="media/image141.jpeg"/><Relationship Id="rId140" Type="http://schemas.openxmlformats.org/officeDocument/2006/relationships/image" Target="media/image140.jpeg"/><Relationship Id="rId14" Type="http://schemas.openxmlformats.org/officeDocument/2006/relationships/image" Target="media/image15.jpeg"/><Relationship Id="rId139" Type="http://schemas.openxmlformats.org/officeDocument/2006/relationships/image" Target="media/image139.jpeg"/><Relationship Id="rId138" Type="http://schemas.openxmlformats.org/officeDocument/2006/relationships/image" Target="media/image138.jpeg"/><Relationship Id="rId137" Type="http://schemas.openxmlformats.org/officeDocument/2006/relationships/image" Target="media/image137.jpeg"/><Relationship Id="rId136" Type="http://schemas.openxmlformats.org/officeDocument/2006/relationships/image" Target="media/image136.jpeg"/><Relationship Id="rId135" Type="http://schemas.openxmlformats.org/officeDocument/2006/relationships/image" Target="media/image135.jpeg"/><Relationship Id="rId134" Type="http://schemas.openxmlformats.org/officeDocument/2006/relationships/image" Target="media/image134.jpeg"/><Relationship Id="rId133" Type="http://schemas.openxmlformats.org/officeDocument/2006/relationships/image" Target="media/image133.png"/><Relationship Id="rId132" Type="http://schemas.openxmlformats.org/officeDocument/2006/relationships/image" Target="media/image132.jpeg"/><Relationship Id="rId131" Type="http://schemas.openxmlformats.org/officeDocument/2006/relationships/image" Target="media/image131.jpeg"/><Relationship Id="rId130" Type="http://schemas.openxmlformats.org/officeDocument/2006/relationships/image" Target="media/image130.jpeg"/><Relationship Id="rId13" Type="http://schemas.openxmlformats.org/officeDocument/2006/relationships/image" Target="media/image14.jpeg"/><Relationship Id="rId129" Type="http://schemas.openxmlformats.org/officeDocument/2006/relationships/image" Target="media/image129.jpeg"/><Relationship Id="rId128" Type="http://schemas.openxmlformats.org/officeDocument/2006/relationships/image" Target="media/image128.png"/><Relationship Id="rId127" Type="http://schemas.openxmlformats.org/officeDocument/2006/relationships/image" Target="media/image127.jpeg"/><Relationship Id="rId126" Type="http://schemas.openxmlformats.org/officeDocument/2006/relationships/image" Target="media/image126.jpeg"/><Relationship Id="rId125" Type="http://schemas.openxmlformats.org/officeDocument/2006/relationships/image" Target="media/image125.jpeg"/><Relationship Id="rId124" Type="http://schemas.openxmlformats.org/officeDocument/2006/relationships/image" Target="media/image124.jpeg"/><Relationship Id="rId123" Type="http://schemas.openxmlformats.org/officeDocument/2006/relationships/image" Target="media/image123.jpeg"/><Relationship Id="rId122" Type="http://schemas.openxmlformats.org/officeDocument/2006/relationships/image" Target="media/image122.jpeg"/><Relationship Id="rId121" Type="http://schemas.openxmlformats.org/officeDocument/2006/relationships/image" Target="media/image121.jpeg"/><Relationship Id="rId120" Type="http://schemas.openxmlformats.org/officeDocument/2006/relationships/image" Target="media/image120.jpeg"/><Relationship Id="rId12" Type="http://schemas.openxmlformats.org/officeDocument/2006/relationships/image" Target="media/image13.jpeg"/><Relationship Id="rId119" Type="http://schemas.openxmlformats.org/officeDocument/2006/relationships/image" Target="media/image119.jpeg"/><Relationship Id="rId118" Type="http://schemas.openxmlformats.org/officeDocument/2006/relationships/image" Target="media/image118.jpeg"/><Relationship Id="rId117" Type="http://schemas.openxmlformats.org/officeDocument/2006/relationships/image" Target="media/image117.jpeg"/><Relationship Id="rId116" Type="http://schemas.openxmlformats.org/officeDocument/2006/relationships/image" Target="media/image116.jpeg"/><Relationship Id="rId115" Type="http://schemas.openxmlformats.org/officeDocument/2006/relationships/image" Target="media/image115.jpeg"/><Relationship Id="rId114" Type="http://schemas.openxmlformats.org/officeDocument/2006/relationships/image" Target="media/image114.jpeg"/><Relationship Id="rId113" Type="http://schemas.openxmlformats.org/officeDocument/2006/relationships/image" Target="media/image113.jpeg"/><Relationship Id="rId112" Type="http://schemas.openxmlformats.org/officeDocument/2006/relationships/image" Target="media/image112.jpeg"/><Relationship Id="rId111" Type="http://schemas.openxmlformats.org/officeDocument/2006/relationships/image" Target="media/image111.jpeg"/><Relationship Id="rId110" Type="http://schemas.openxmlformats.org/officeDocument/2006/relationships/image" Target="media/image110.jpeg"/><Relationship Id="rId11" Type="http://schemas.openxmlformats.org/officeDocument/2006/relationships/image" Target="media/image12.jpeg"/><Relationship Id="rId109" Type="http://schemas.openxmlformats.org/officeDocument/2006/relationships/image" Target="media/image109.jpeg"/><Relationship Id="rId108" Type="http://schemas.openxmlformats.org/officeDocument/2006/relationships/image" Target="media/image108.jpeg"/><Relationship Id="rId107" Type="http://schemas.openxmlformats.org/officeDocument/2006/relationships/image" Target="media/image107.jpeg"/><Relationship Id="rId106" Type="http://schemas.openxmlformats.org/officeDocument/2006/relationships/image" Target="media/image106.jpeg"/><Relationship Id="rId105" Type="http://schemas.openxmlformats.org/officeDocument/2006/relationships/image" Target="media/image105.jpeg"/><Relationship Id="rId104" Type="http://schemas.openxmlformats.org/officeDocument/2006/relationships/image" Target="media/image104.jpeg"/><Relationship Id="rId103" Type="http://schemas.openxmlformats.org/officeDocument/2006/relationships/image" Target="media/image103.jpeg"/><Relationship Id="rId102" Type="http://schemas.openxmlformats.org/officeDocument/2006/relationships/image" Target="media/image102.jpeg"/><Relationship Id="rId101" Type="http://schemas.openxmlformats.org/officeDocument/2006/relationships/image" Target="media/image101.jpeg"/><Relationship Id="rId100" Type="http://schemas.openxmlformats.org/officeDocument/2006/relationships/image" Target="media/image100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409575</xdr:colOff>
      <xdr:row>195</xdr:row>
      <xdr:rowOff>0</xdr:rowOff>
    </xdr:from>
    <xdr:to>
      <xdr:col>6</xdr:col>
      <xdr:colOff>2540</xdr:colOff>
      <xdr:row>196</xdr:row>
      <xdr:rowOff>553720</xdr:rowOff>
    </xdr:to>
    <xdr:pic>
      <xdr:nvPicPr>
        <xdr:cNvPr id="2" name="图片 1" descr="打针椅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72700" y="324243700"/>
          <a:ext cx="2540" cy="934720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195</xdr:row>
      <xdr:rowOff>0</xdr:rowOff>
    </xdr:from>
    <xdr:to>
      <xdr:col>6</xdr:col>
      <xdr:colOff>2540</xdr:colOff>
      <xdr:row>196</xdr:row>
      <xdr:rowOff>556260</xdr:rowOff>
    </xdr:to>
    <xdr:pic>
      <xdr:nvPicPr>
        <xdr:cNvPr id="5" name="图片 4" descr="打针椅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72700" y="324243700"/>
          <a:ext cx="2540" cy="93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7"/>
  <sheetViews>
    <sheetView tabSelected="1" workbookViewId="0">
      <selection activeCell="E3" sqref="E3"/>
    </sheetView>
  </sheetViews>
  <sheetFormatPr defaultColWidth="9" defaultRowHeight="13.5"/>
  <cols>
    <col min="1" max="1" width="5" style="8" customWidth="1"/>
    <col min="2" max="2" width="19.625" style="9" customWidth="1"/>
    <col min="3" max="4" width="19.625" style="10" customWidth="1"/>
    <col min="5" max="5" width="64.25" style="10" customWidth="1"/>
    <col min="6" max="6" width="5.375" style="11" customWidth="1"/>
    <col min="7" max="7" width="10.25" style="12" customWidth="1"/>
    <col min="8" max="8" width="11.125" style="12" customWidth="1"/>
    <col min="9" max="9" width="14.75" style="12" customWidth="1"/>
    <col min="10" max="10" width="5.25" style="11" customWidth="1"/>
    <col min="11" max="11" width="19.125" style="13" customWidth="1"/>
    <col min="12" max="12" width="19.125" style="14" customWidth="1"/>
    <col min="13" max="16384" width="9" style="1"/>
  </cols>
  <sheetData>
    <row r="1" s="1" customFormat="1" ht="42" customHeight="1" spans="1:256">
      <c r="A1" s="15" t="s">
        <v>0</v>
      </c>
      <c r="B1" s="16"/>
      <c r="C1" s="17"/>
      <c r="D1" s="17"/>
      <c r="E1" s="16"/>
      <c r="F1" s="18"/>
      <c r="G1" s="18"/>
      <c r="H1" s="18"/>
      <c r="I1" s="18"/>
      <c r="J1" s="16"/>
      <c r="K1" s="19"/>
      <c r="L1" s="20"/>
      <c r="M1" s="21"/>
    </row>
    <row r="2" s="2" customFormat="1" ht="42" customHeight="1" spans="1:256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3" t="s">
        <v>10</v>
      </c>
      <c r="K2" s="25"/>
    </row>
    <row r="3" s="3" customFormat="1" ht="105" customHeight="1" spans="1:256">
      <c r="A3" s="26">
        <v>1</v>
      </c>
      <c r="B3" s="27"/>
      <c r="C3" s="28" t="s">
        <v>11</v>
      </c>
      <c r="D3" s="28" t="str">
        <f>_xlfn.DISPIMG("ID_BD8041DEEFCC4BA280DF1919E63BA993",1)</f>
        <v>=DISPIMG("ID_BD8041DEEFCC4BA280DF1919E63BA993",1)</v>
      </c>
      <c r="E3" s="29" t="s">
        <v>12</v>
      </c>
      <c r="F3" s="27" t="s">
        <v>13</v>
      </c>
      <c r="G3" s="30">
        <v>50</v>
      </c>
      <c r="H3" s="31"/>
      <c r="I3" s="30">
        <f t="shared" ref="I3:I66" si="0">G3*H3</f>
        <v>0</v>
      </c>
      <c r="J3" s="32"/>
      <c r="K3" s="33"/>
    </row>
    <row r="4" s="4" customFormat="1" ht="105" customHeight="1" spans="1:256">
      <c r="A4" s="26">
        <v>2</v>
      </c>
      <c r="B4" s="34"/>
      <c r="C4" s="35" t="s">
        <v>14</v>
      </c>
      <c r="D4" s="35" t="str">
        <f>_xlfn.DISPIMG("ID_9485B57A06F94C70B134B9283E8D9982",1)</f>
        <v>=DISPIMG("ID_9485B57A06F94C70B134B9283E8D9982",1)</v>
      </c>
      <c r="E4" s="29" t="s">
        <v>15</v>
      </c>
      <c r="F4" s="26" t="s">
        <v>16</v>
      </c>
      <c r="G4" s="30">
        <v>26</v>
      </c>
      <c r="H4" s="31"/>
      <c r="I4" s="30">
        <f t="shared" si="0"/>
        <v>0</v>
      </c>
      <c r="J4" s="32"/>
      <c r="K4" s="3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4" customFormat="1" ht="131" customHeight="1" spans="1:256">
      <c r="A5" s="26">
        <v>3</v>
      </c>
      <c r="B5" s="34"/>
      <c r="C5" s="35" t="s">
        <v>17</v>
      </c>
      <c r="D5" s="35" t="str">
        <f>_xlfn.DISPIMG("ID_B8F444C5D0E04DA0B00F90BD6A38EB56",1)</f>
        <v>=DISPIMG("ID_B8F444C5D0E04DA0B00F90BD6A38EB56",1)</v>
      </c>
      <c r="E5" s="29" t="s">
        <v>18</v>
      </c>
      <c r="F5" s="26" t="s">
        <v>13</v>
      </c>
      <c r="G5" s="30">
        <v>2</v>
      </c>
      <c r="H5" s="31"/>
      <c r="I5" s="30">
        <f t="shared" si="0"/>
        <v>0</v>
      </c>
      <c r="J5" s="32"/>
      <c r="K5" s="3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3" customFormat="1" ht="112" customHeight="1" spans="1:256">
      <c r="A6" s="26">
        <v>4</v>
      </c>
      <c r="B6" s="27"/>
      <c r="C6" s="28" t="s">
        <v>19</v>
      </c>
      <c r="D6" s="28" t="str">
        <f>_xlfn.DISPIMG("ID_9073EED7EF5B4695953D5404CA3DCEEB",1)</f>
        <v>=DISPIMG("ID_9073EED7EF5B4695953D5404CA3DCEEB",1)</v>
      </c>
      <c r="E6" s="29" t="s">
        <v>20</v>
      </c>
      <c r="F6" s="27" t="s">
        <v>13</v>
      </c>
      <c r="G6" s="30">
        <v>3</v>
      </c>
      <c r="H6" s="31"/>
      <c r="I6" s="30">
        <f t="shared" si="0"/>
        <v>0</v>
      </c>
      <c r="J6" s="32"/>
      <c r="K6" s="33"/>
    </row>
    <row r="7" s="3" customFormat="1" ht="112" customHeight="1" spans="1:256">
      <c r="A7" s="26">
        <v>5</v>
      </c>
      <c r="B7" s="27"/>
      <c r="C7" s="28" t="s">
        <v>21</v>
      </c>
      <c r="D7" s="28" t="str">
        <f>_xlfn.DISPIMG("ID_A28B187107DC4970AAB9A4DC9F065DAC",1)</f>
        <v>=DISPIMG("ID_A28B187107DC4970AAB9A4DC9F065DAC",1)</v>
      </c>
      <c r="E7" s="29" t="s">
        <v>22</v>
      </c>
      <c r="F7" s="27" t="s">
        <v>13</v>
      </c>
      <c r="G7" s="30">
        <v>1</v>
      </c>
      <c r="H7" s="31"/>
      <c r="I7" s="30">
        <f t="shared" si="0"/>
        <v>0</v>
      </c>
      <c r="J7" s="32"/>
      <c r="K7" s="33"/>
    </row>
    <row r="8" s="3" customFormat="1" ht="191" customHeight="1" spans="1:256">
      <c r="A8" s="26">
        <v>6</v>
      </c>
      <c r="B8" s="27"/>
      <c r="C8" s="28" t="s">
        <v>23</v>
      </c>
      <c r="D8" s="28" t="str">
        <f>_xlfn.DISPIMG("ID_DFF83895ED934DBABE6A07234D55BBC7",1)</f>
        <v>=DISPIMG("ID_DFF83895ED934DBABE6A07234D55BBC7",1)</v>
      </c>
      <c r="E8" s="29" t="s">
        <v>24</v>
      </c>
      <c r="F8" s="27" t="s">
        <v>13</v>
      </c>
      <c r="G8" s="30">
        <v>2</v>
      </c>
      <c r="H8" s="31"/>
      <c r="I8" s="30">
        <f t="shared" si="0"/>
        <v>0</v>
      </c>
      <c r="J8" s="32"/>
      <c r="K8" s="33"/>
    </row>
    <row r="9" s="3" customFormat="1" ht="191" customHeight="1" spans="1:256">
      <c r="A9" s="26">
        <v>7</v>
      </c>
      <c r="B9" s="27"/>
      <c r="C9" s="28" t="s">
        <v>25</v>
      </c>
      <c r="D9" s="28" t="str">
        <f>_xlfn.DISPIMG("ID_CFE2B25BEA50483E8722CD346CA3FFDA",1)</f>
        <v>=DISPIMG("ID_CFE2B25BEA50483E8722CD346CA3FFDA",1)</v>
      </c>
      <c r="E9" s="29" t="s">
        <v>26</v>
      </c>
      <c r="F9" s="27" t="s">
        <v>13</v>
      </c>
      <c r="G9" s="30">
        <v>1</v>
      </c>
      <c r="H9" s="31"/>
      <c r="I9" s="30">
        <f t="shared" si="0"/>
        <v>0</v>
      </c>
      <c r="J9" s="32"/>
      <c r="K9" s="33"/>
    </row>
    <row r="10" s="3" customFormat="1" ht="191" customHeight="1" spans="1:256">
      <c r="A10" s="26">
        <v>8</v>
      </c>
      <c r="B10" s="27"/>
      <c r="C10" s="28" t="s">
        <v>27</v>
      </c>
      <c r="D10" s="28" t="str">
        <f>_xlfn.DISPIMG("ID_844D3590ABB545379174F2BC806D1B62",1)</f>
        <v>=DISPIMG("ID_844D3590ABB545379174F2BC806D1B62",1)</v>
      </c>
      <c r="E10" s="29" t="s">
        <v>28</v>
      </c>
      <c r="F10" s="27" t="s">
        <v>13</v>
      </c>
      <c r="G10" s="30">
        <v>1</v>
      </c>
      <c r="H10" s="31"/>
      <c r="I10" s="30">
        <f t="shared" si="0"/>
        <v>0</v>
      </c>
      <c r="J10" s="32"/>
      <c r="K10" s="33"/>
    </row>
    <row r="11" s="3" customFormat="1" ht="171" customHeight="1" spans="1:256">
      <c r="A11" s="26">
        <v>9</v>
      </c>
      <c r="B11" s="36"/>
      <c r="C11" s="37" t="s">
        <v>29</v>
      </c>
      <c r="D11" s="37" t="str">
        <f>_xlfn.DISPIMG("ID_19C484DCB43141FB9D6ED7318467AD15",1)</f>
        <v>=DISPIMG("ID_19C484DCB43141FB9D6ED7318467AD15",1)</v>
      </c>
      <c r="E11" s="29" t="s">
        <v>30</v>
      </c>
      <c r="F11" s="27" t="s">
        <v>13</v>
      </c>
      <c r="G11" s="30">
        <v>1</v>
      </c>
      <c r="H11" s="31"/>
      <c r="I11" s="30">
        <f t="shared" si="0"/>
        <v>0</v>
      </c>
      <c r="J11" s="32"/>
      <c r="K11" s="33"/>
    </row>
    <row r="12" s="5" customFormat="1" ht="171" customHeight="1" spans="1:256">
      <c r="A12" s="26">
        <v>10</v>
      </c>
      <c r="B12" s="36"/>
      <c r="C12" s="37" t="s">
        <v>31</v>
      </c>
      <c r="D12" s="37" t="str">
        <f>_xlfn.DISPIMG("ID_CFF49BACC5D4410BBED334F1F444F092",1)</f>
        <v>=DISPIMG("ID_CFF49BACC5D4410BBED334F1F444F092",1)</v>
      </c>
      <c r="E12" s="29" t="s">
        <v>32</v>
      </c>
      <c r="F12" s="27" t="s">
        <v>13</v>
      </c>
      <c r="G12" s="30">
        <v>37</v>
      </c>
      <c r="H12" s="31"/>
      <c r="I12" s="30">
        <f t="shared" si="0"/>
        <v>0</v>
      </c>
      <c r="J12" s="38"/>
      <c r="K12" s="33"/>
      <c r="L12" s="3"/>
      <c r="IU12" s="39"/>
      <c r="IV12" s="39"/>
    </row>
    <row r="13" s="5" customFormat="1" ht="172" customHeight="1" spans="1:256">
      <c r="A13" s="26">
        <v>11</v>
      </c>
      <c r="B13" s="36"/>
      <c r="C13" s="37" t="s">
        <v>33</v>
      </c>
      <c r="D13" s="37" t="str">
        <f>_xlfn.DISPIMG("ID_7B966FE1C72F429BAECEFB285EC9A71D",1)</f>
        <v>=DISPIMG("ID_7B966FE1C72F429BAECEFB285EC9A71D",1)</v>
      </c>
      <c r="E13" s="29" t="s">
        <v>34</v>
      </c>
      <c r="F13" s="27" t="s">
        <v>13</v>
      </c>
      <c r="G13" s="30">
        <v>7</v>
      </c>
      <c r="H13" s="31"/>
      <c r="I13" s="30">
        <f t="shared" si="0"/>
        <v>0</v>
      </c>
      <c r="J13" s="38"/>
      <c r="K13" s="33"/>
      <c r="L13" s="3"/>
      <c r="IU13" s="39"/>
      <c r="IV13" s="39"/>
    </row>
    <row r="14" s="5" customFormat="1" ht="305" customHeight="1" spans="1:256">
      <c r="A14" s="26">
        <v>12</v>
      </c>
      <c r="B14" s="36"/>
      <c r="C14" s="37" t="s">
        <v>35</v>
      </c>
      <c r="D14" s="37" t="str">
        <f>_xlfn.DISPIMG("ID_AA58EE9C51C442EE99C6CB62B7B206A3",1)</f>
        <v>=DISPIMG("ID_AA58EE9C51C442EE99C6CB62B7B206A3",1)</v>
      </c>
      <c r="E14" s="40" t="s">
        <v>36</v>
      </c>
      <c r="F14" s="27" t="s">
        <v>13</v>
      </c>
      <c r="G14" s="30">
        <v>4</v>
      </c>
      <c r="H14" s="31"/>
      <c r="I14" s="30">
        <f t="shared" si="0"/>
        <v>0</v>
      </c>
      <c r="J14" s="38"/>
      <c r="K14" s="33"/>
      <c r="L14" s="3"/>
      <c r="IU14" s="39"/>
      <c r="IV14" s="39"/>
    </row>
    <row r="15" s="5" customFormat="1" ht="123" customHeight="1" spans="1:256">
      <c r="A15" s="26">
        <v>13</v>
      </c>
      <c r="B15" s="36"/>
      <c r="C15" s="37" t="s">
        <v>37</v>
      </c>
      <c r="D15" s="37" t="str">
        <f>_xlfn.DISPIMG("ID_5E52EAAF4AE74A588B4EFB374039D971",1)</f>
        <v>=DISPIMG("ID_5E52EAAF4AE74A588B4EFB374039D971",1)</v>
      </c>
      <c r="E15" s="40" t="s">
        <v>38</v>
      </c>
      <c r="F15" s="27" t="s">
        <v>13</v>
      </c>
      <c r="G15" s="30">
        <v>4</v>
      </c>
      <c r="H15" s="31"/>
      <c r="I15" s="30">
        <f t="shared" si="0"/>
        <v>0</v>
      </c>
      <c r="J15" s="38"/>
      <c r="K15" s="33"/>
      <c r="L15" s="3"/>
      <c r="IU15" s="39"/>
      <c r="IV15" s="39"/>
    </row>
    <row r="16" s="3" customFormat="1" ht="123" customHeight="1" spans="1:256">
      <c r="A16" s="26">
        <v>14</v>
      </c>
      <c r="B16" s="41"/>
      <c r="C16" s="28" t="s">
        <v>39</v>
      </c>
      <c r="D16" s="28" t="str">
        <f>_xlfn.DISPIMG("ID_F494A7FBA92F4792A87D8A5647445617",1)</f>
        <v>=DISPIMG("ID_F494A7FBA92F4792A87D8A5647445617",1)</v>
      </c>
      <c r="E16" s="40" t="s">
        <v>40</v>
      </c>
      <c r="F16" s="27" t="s">
        <v>13</v>
      </c>
      <c r="G16" s="30">
        <v>86</v>
      </c>
      <c r="H16" s="31"/>
      <c r="I16" s="30">
        <f t="shared" si="0"/>
        <v>0</v>
      </c>
      <c r="J16" s="32"/>
      <c r="K16" s="33"/>
    </row>
    <row r="17" s="3" customFormat="1" ht="123" customHeight="1" spans="1:254">
      <c r="A17" s="26">
        <v>15</v>
      </c>
      <c r="B17" s="27" t="s">
        <v>41</v>
      </c>
      <c r="C17" s="28" t="s">
        <v>42</v>
      </c>
      <c r="D17" s="28" t="str">
        <f>_xlfn.DISPIMG("ID_65C5CE9AA8CF432593F4A84090351A6B",1)</f>
        <v>=DISPIMG("ID_65C5CE9AA8CF432593F4A84090351A6B",1)</v>
      </c>
      <c r="E17" s="40" t="s">
        <v>43</v>
      </c>
      <c r="F17" s="27" t="s">
        <v>13</v>
      </c>
      <c r="G17" s="30">
        <v>167</v>
      </c>
      <c r="H17" s="31"/>
      <c r="I17" s="30">
        <f t="shared" si="0"/>
        <v>0</v>
      </c>
      <c r="J17" s="32"/>
      <c r="K17" s="33"/>
    </row>
    <row r="18" s="3" customFormat="1" ht="123" customHeight="1" spans="1:254">
      <c r="A18" s="26">
        <v>16</v>
      </c>
      <c r="B18" s="27"/>
      <c r="C18" s="28" t="s">
        <v>44</v>
      </c>
      <c r="D18" s="28" t="str">
        <f>_xlfn.DISPIMG("ID_BB267C30D3EC41FBBD653B78A698D45C",1)</f>
        <v>=DISPIMG("ID_BB267C30D3EC41FBBD653B78A698D45C",1)</v>
      </c>
      <c r="E18" s="40" t="s">
        <v>45</v>
      </c>
      <c r="F18" s="27" t="s">
        <v>13</v>
      </c>
      <c r="G18" s="30">
        <v>1</v>
      </c>
      <c r="H18" s="31"/>
      <c r="I18" s="30">
        <f t="shared" si="0"/>
        <v>0</v>
      </c>
      <c r="J18" s="32"/>
      <c r="K18" s="33"/>
    </row>
    <row r="19" s="3" customFormat="1" ht="123" customHeight="1" spans="1:254">
      <c r="A19" s="26">
        <v>17</v>
      </c>
      <c r="B19" s="27"/>
      <c r="C19" s="28" t="s">
        <v>46</v>
      </c>
      <c r="D19" s="28" t="str">
        <f>_xlfn.DISPIMG("ID_7547F982D4934EF99A16871663EBFC2D",1)</f>
        <v>=DISPIMG("ID_7547F982D4934EF99A16871663EBFC2D",1)</v>
      </c>
      <c r="E19" s="40" t="s">
        <v>47</v>
      </c>
      <c r="F19" s="27" t="s">
        <v>13</v>
      </c>
      <c r="G19" s="30">
        <v>1</v>
      </c>
      <c r="H19" s="31"/>
      <c r="I19" s="30">
        <f t="shared" si="0"/>
        <v>0</v>
      </c>
      <c r="J19" s="32"/>
      <c r="K19" s="33"/>
    </row>
    <row r="20" s="3" customFormat="1" ht="123" customHeight="1" spans="1:254">
      <c r="A20" s="26">
        <v>18</v>
      </c>
      <c r="B20" s="27"/>
      <c r="C20" s="28" t="s">
        <v>48</v>
      </c>
      <c r="D20" s="28" t="str">
        <f>_xlfn.DISPIMG("ID_3B89762F115241BFBF02271580ACFC87",1)</f>
        <v>=DISPIMG("ID_3B89762F115241BFBF02271580ACFC87",1)</v>
      </c>
      <c r="E20" s="29" t="s">
        <v>49</v>
      </c>
      <c r="F20" s="27" t="s">
        <v>13</v>
      </c>
      <c r="G20" s="30">
        <v>1</v>
      </c>
      <c r="H20" s="31"/>
      <c r="I20" s="30">
        <f t="shared" si="0"/>
        <v>0</v>
      </c>
      <c r="J20" s="32"/>
      <c r="K20" s="33"/>
    </row>
    <row r="21" s="3" customFormat="1" ht="123" customHeight="1" spans="1:254">
      <c r="A21" s="26">
        <v>19</v>
      </c>
      <c r="B21" s="27"/>
      <c r="C21" s="28" t="s">
        <v>50</v>
      </c>
      <c r="D21" s="28" t="str">
        <f>_xlfn.DISPIMG("ID_B06BE4F320414AE8A02AA1106B82587B",1)</f>
        <v>=DISPIMG("ID_B06BE4F320414AE8A02AA1106B82587B",1)</v>
      </c>
      <c r="E21" s="29" t="s">
        <v>51</v>
      </c>
      <c r="F21" s="27" t="s">
        <v>13</v>
      </c>
      <c r="G21" s="30">
        <v>2</v>
      </c>
      <c r="H21" s="31"/>
      <c r="I21" s="30">
        <f t="shared" si="0"/>
        <v>0</v>
      </c>
      <c r="J21" s="32"/>
      <c r="K21" s="33"/>
    </row>
    <row r="22" s="3" customFormat="1" ht="123" customHeight="1" spans="1:254">
      <c r="A22" s="26">
        <v>20</v>
      </c>
      <c r="B22" s="27"/>
      <c r="C22" s="28" t="s">
        <v>52</v>
      </c>
      <c r="D22" s="28" t="str">
        <f>_xlfn.DISPIMG("ID_3F753BE9BF8E4C9A853C7D34CDD947E1",1)</f>
        <v>=DISPIMG("ID_3F753BE9BF8E4C9A853C7D34CDD947E1",1)</v>
      </c>
      <c r="E22" s="28" t="s">
        <v>53</v>
      </c>
      <c r="F22" s="27" t="s">
        <v>13</v>
      </c>
      <c r="G22" s="30">
        <v>4</v>
      </c>
      <c r="H22" s="31"/>
      <c r="I22" s="30">
        <f t="shared" si="0"/>
        <v>0</v>
      </c>
      <c r="J22" s="32"/>
      <c r="K22" s="33"/>
    </row>
    <row r="23" s="3" customFormat="1" ht="108" customHeight="1" spans="1:254">
      <c r="A23" s="26">
        <v>21</v>
      </c>
      <c r="B23" s="27" t="s">
        <v>41</v>
      </c>
      <c r="C23" s="28" t="s">
        <v>54</v>
      </c>
      <c r="D23" s="28" t="str">
        <f>_xlfn.DISPIMG("ID_8924FB7AA0674460B9065365ED61C116",1)</f>
        <v>=DISPIMG("ID_8924FB7AA0674460B9065365ED61C116",1)</v>
      </c>
      <c r="E23" s="35" t="s">
        <v>55</v>
      </c>
      <c r="F23" s="27" t="s">
        <v>13</v>
      </c>
      <c r="G23" s="30">
        <v>154</v>
      </c>
      <c r="H23" s="31"/>
      <c r="I23" s="30">
        <f t="shared" si="0"/>
        <v>0</v>
      </c>
      <c r="J23" s="32"/>
      <c r="K23" s="33"/>
    </row>
    <row r="24" s="3" customFormat="1" ht="102" customHeight="1" spans="1:254">
      <c r="A24" s="26">
        <v>22</v>
      </c>
      <c r="B24" s="27"/>
      <c r="C24" s="28" t="s">
        <v>56</v>
      </c>
      <c r="D24" s="28" t="str">
        <f>_xlfn.DISPIMG("ID_7A571467050A43CB8242FF22C0AAE29B",1)</f>
        <v>=DISPIMG("ID_7A571467050A43CB8242FF22C0AAE29B",1)</v>
      </c>
      <c r="E24" s="28" t="s">
        <v>57</v>
      </c>
      <c r="F24" s="27" t="s">
        <v>13</v>
      </c>
      <c r="G24" s="30">
        <v>21</v>
      </c>
      <c r="H24" s="31"/>
      <c r="I24" s="30">
        <f t="shared" si="0"/>
        <v>0</v>
      </c>
      <c r="J24" s="32"/>
      <c r="K24" s="33"/>
    </row>
    <row r="25" s="3" customFormat="1" ht="102" customHeight="1" spans="1:254">
      <c r="A25" s="26">
        <v>23</v>
      </c>
      <c r="B25" s="34"/>
      <c r="C25" s="35" t="s">
        <v>58</v>
      </c>
      <c r="D25" s="35" t="str">
        <f>_xlfn.DISPIMG("ID_C6CA244942DF495EA2108BEDBCAFAB6E",1)</f>
        <v>=DISPIMG("ID_C6CA244942DF495EA2108BEDBCAFAB6E",1)</v>
      </c>
      <c r="E25" s="29" t="s">
        <v>59</v>
      </c>
      <c r="F25" s="27" t="s">
        <v>13</v>
      </c>
      <c r="G25" s="30">
        <v>7</v>
      </c>
      <c r="H25" s="31"/>
      <c r="I25" s="30">
        <f t="shared" si="0"/>
        <v>0</v>
      </c>
      <c r="J25" s="32"/>
      <c r="K25" s="33"/>
    </row>
    <row r="26" s="4" customFormat="1" ht="102" customHeight="1" spans="1:254">
      <c r="A26" s="26">
        <v>24</v>
      </c>
      <c r="B26" s="34"/>
      <c r="C26" s="35" t="s">
        <v>60</v>
      </c>
      <c r="D26" s="35" t="str">
        <f>_xlfn.DISPIMG("ID_E3A84350103E4D06922CC5FA7A45FF63",1)</f>
        <v>=DISPIMG("ID_E3A84350103E4D06922CC5FA7A45FF63",1)</v>
      </c>
      <c r="E26" s="28" t="s">
        <v>61</v>
      </c>
      <c r="F26" s="26" t="s">
        <v>13</v>
      </c>
      <c r="G26" s="30">
        <v>2</v>
      </c>
      <c r="H26" s="31"/>
      <c r="I26" s="30">
        <f t="shared" si="0"/>
        <v>0</v>
      </c>
      <c r="J26" s="32"/>
      <c r="K26" s="3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="4" customFormat="1" ht="102" customHeight="1" spans="1:254">
      <c r="A27" s="26">
        <v>25</v>
      </c>
      <c r="B27" s="34"/>
      <c r="C27" s="35" t="s">
        <v>62</v>
      </c>
      <c r="D27" s="35" t="str">
        <f>_xlfn.DISPIMG("ID_331EC5130FE04887967122BE5EF7D9D7",1)</f>
        <v>=DISPIMG("ID_331EC5130FE04887967122BE5EF7D9D7",1)</v>
      </c>
      <c r="E27" s="42" t="s">
        <v>63</v>
      </c>
      <c r="F27" s="26" t="s">
        <v>13</v>
      </c>
      <c r="G27" s="30">
        <v>1</v>
      </c>
      <c r="H27" s="31"/>
      <c r="I27" s="30">
        <f t="shared" si="0"/>
        <v>0</v>
      </c>
      <c r="J27" s="32"/>
      <c r="K27" s="3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="4" customFormat="1" ht="102" customHeight="1" spans="1:254">
      <c r="A28" s="26">
        <v>26</v>
      </c>
      <c r="B28" s="34"/>
      <c r="C28" s="35" t="s">
        <v>64</v>
      </c>
      <c r="D28" s="35" t="str">
        <f>_xlfn.DISPIMG("ID_CFAA7ED164784D3D945AC89AD2047EDF",1)</f>
        <v>=DISPIMG("ID_CFAA7ED164784D3D945AC89AD2047EDF",1)</v>
      </c>
      <c r="E28" s="42" t="s">
        <v>65</v>
      </c>
      <c r="F28" s="26" t="s">
        <v>13</v>
      </c>
      <c r="G28" s="30">
        <v>1</v>
      </c>
      <c r="H28" s="31"/>
      <c r="I28" s="30">
        <f t="shared" si="0"/>
        <v>0</v>
      </c>
      <c r="J28" s="32"/>
      <c r="K28" s="3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="4" customFormat="1" ht="102" customHeight="1" spans="1:254">
      <c r="A29" s="26">
        <v>27</v>
      </c>
      <c r="B29" s="34"/>
      <c r="C29" s="35" t="s">
        <v>66</v>
      </c>
      <c r="D29" s="35" t="str">
        <f>_xlfn.DISPIMG("ID_594BE28361E6495899E58072ED432779",1)</f>
        <v>=DISPIMG("ID_594BE28361E6495899E58072ED432779",1)</v>
      </c>
      <c r="E29" s="42" t="s">
        <v>67</v>
      </c>
      <c r="F29" s="26" t="s">
        <v>13</v>
      </c>
      <c r="G29" s="30">
        <v>9</v>
      </c>
      <c r="H29" s="31"/>
      <c r="I29" s="30">
        <f t="shared" si="0"/>
        <v>0</v>
      </c>
      <c r="J29" s="32"/>
      <c r="K29" s="3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="4" customFormat="1" ht="102" customHeight="1" spans="1:254">
      <c r="A30" s="26">
        <v>28</v>
      </c>
      <c r="B30" s="34"/>
      <c r="C30" s="35" t="s">
        <v>68</v>
      </c>
      <c r="D30" s="35" t="str">
        <f>_xlfn.DISPIMG("ID_29B2CC2DA4054101BFCFFBB5ED9410F8",1)</f>
        <v>=DISPIMG("ID_29B2CC2DA4054101BFCFFBB5ED9410F8",1)</v>
      </c>
      <c r="E30" s="42" t="s">
        <v>69</v>
      </c>
      <c r="F30" s="26" t="s">
        <v>13</v>
      </c>
      <c r="G30" s="30">
        <v>1</v>
      </c>
      <c r="H30" s="31"/>
      <c r="I30" s="30">
        <f t="shared" si="0"/>
        <v>0</v>
      </c>
      <c r="J30" s="32"/>
      <c r="K30" s="3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="4" customFormat="1" ht="102" customHeight="1" spans="1:254">
      <c r="A31" s="26">
        <v>29</v>
      </c>
      <c r="B31" s="34"/>
      <c r="C31" s="35" t="s">
        <v>70</v>
      </c>
      <c r="D31" s="35" t="str">
        <f>_xlfn.DISPIMG("ID_8AE5F47A351F41C3B652BF79A0DC109A",1)</f>
        <v>=DISPIMG("ID_8AE5F47A351F41C3B652BF79A0DC109A",1)</v>
      </c>
      <c r="E31" s="35" t="s">
        <v>71</v>
      </c>
      <c r="F31" s="26" t="s">
        <v>13</v>
      </c>
      <c r="G31" s="30">
        <v>7</v>
      </c>
      <c r="H31" s="31"/>
      <c r="I31" s="30">
        <f t="shared" si="0"/>
        <v>0</v>
      </c>
      <c r="J31" s="32"/>
      <c r="K31" s="3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s="4" customFormat="1" ht="120" customHeight="1" spans="1:254">
      <c r="A32" s="26">
        <v>30</v>
      </c>
      <c r="B32" s="34"/>
      <c r="C32" s="35" t="s">
        <v>72</v>
      </c>
      <c r="D32" s="35" t="str">
        <f>_xlfn.DISPIMG("ID_1113B8C0380E44F98ECDEA68B72177D9",1)</f>
        <v>=DISPIMG("ID_1113B8C0380E44F98ECDEA68B72177D9",1)</v>
      </c>
      <c r="E32" s="35" t="s">
        <v>73</v>
      </c>
      <c r="F32" s="26" t="s">
        <v>13</v>
      </c>
      <c r="G32" s="30">
        <v>1</v>
      </c>
      <c r="H32" s="31"/>
      <c r="I32" s="30">
        <f t="shared" si="0"/>
        <v>0</v>
      </c>
      <c r="J32" s="32"/>
      <c r="K32" s="3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s="4" customFormat="1" ht="120" customHeight="1" spans="1:254">
      <c r="A33" s="26">
        <v>31</v>
      </c>
      <c r="B33" s="34"/>
      <c r="C33" s="35" t="s">
        <v>74</v>
      </c>
      <c r="D33" s="35" t="str">
        <f>_xlfn.DISPIMG("ID_9569C945272C4A799663C5F74451F2AC",1)</f>
        <v>=DISPIMG("ID_9569C945272C4A799663C5F74451F2AC",1)</v>
      </c>
      <c r="E33" s="29" t="s">
        <v>75</v>
      </c>
      <c r="F33" s="26" t="s">
        <v>13</v>
      </c>
      <c r="G33" s="30">
        <v>16</v>
      </c>
      <c r="H33" s="31"/>
      <c r="I33" s="30">
        <f t="shared" si="0"/>
        <v>0</v>
      </c>
      <c r="J33" s="32"/>
      <c r="K33" s="3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</row>
    <row r="34" s="4" customFormat="1" ht="120" customHeight="1" spans="1:254">
      <c r="A34" s="26">
        <v>32</v>
      </c>
      <c r="B34" s="34"/>
      <c r="C34" s="35" t="s">
        <v>76</v>
      </c>
      <c r="D34" s="35" t="str">
        <f>_xlfn.DISPIMG("ID_3F926B74F1AC448BB2E4D318F98B1269",1)</f>
        <v>=DISPIMG("ID_3F926B74F1AC448BB2E4D318F98B1269",1)</v>
      </c>
      <c r="E34" s="29" t="s">
        <v>77</v>
      </c>
      <c r="F34" s="26" t="s">
        <v>13</v>
      </c>
      <c r="G34" s="30">
        <v>1</v>
      </c>
      <c r="H34" s="31"/>
      <c r="I34" s="30">
        <f t="shared" si="0"/>
        <v>0</v>
      </c>
      <c r="J34" s="32"/>
      <c r="K34" s="3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="4" customFormat="1" ht="120" customHeight="1" spans="1:254">
      <c r="A35" s="26">
        <v>33</v>
      </c>
      <c r="B35" s="34"/>
      <c r="C35" s="35" t="s">
        <v>78</v>
      </c>
      <c r="D35" s="35" t="str">
        <f>_xlfn.DISPIMG("ID_DB5F9B40A947486E902B70D28473F469",1)</f>
        <v>=DISPIMG("ID_DB5F9B40A947486E902B70D28473F469",1)</v>
      </c>
      <c r="E35" s="29" t="s">
        <v>79</v>
      </c>
      <c r="F35" s="26" t="s">
        <v>13</v>
      </c>
      <c r="G35" s="30">
        <v>11</v>
      </c>
      <c r="H35" s="31"/>
      <c r="I35" s="30">
        <f t="shared" si="0"/>
        <v>0</v>
      </c>
      <c r="J35" s="32"/>
      <c r="K35" s="3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s="4" customFormat="1" ht="139" customHeight="1" spans="1:254">
      <c r="A36" s="26">
        <v>34</v>
      </c>
      <c r="B36" s="34" t="s">
        <v>41</v>
      </c>
      <c r="C36" s="35" t="s">
        <v>80</v>
      </c>
      <c r="D36" s="35" t="str">
        <f>_xlfn.DISPIMG("ID_054949F6935947389A0F478959B881D6",1)</f>
        <v>=DISPIMG("ID_054949F6935947389A0F478959B881D6",1)</v>
      </c>
      <c r="E36" s="35" t="s">
        <v>81</v>
      </c>
      <c r="F36" s="26" t="s">
        <v>13</v>
      </c>
      <c r="G36" s="30">
        <v>104</v>
      </c>
      <c r="H36" s="31"/>
      <c r="I36" s="30">
        <f t="shared" si="0"/>
        <v>0</v>
      </c>
      <c r="J36" s="32"/>
      <c r="K36" s="3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="4" customFormat="1" ht="139" customHeight="1" spans="1:254">
      <c r="A37" s="26">
        <v>35</v>
      </c>
      <c r="B37" s="34"/>
      <c r="C37" s="35" t="s">
        <v>82</v>
      </c>
      <c r="D37" s="35" t="str">
        <f>_xlfn.DISPIMG("ID_4CC7DECC3D7E46789F43BCFE77C3ACEB",1)</f>
        <v>=DISPIMG("ID_4CC7DECC3D7E46789F43BCFE77C3ACEB",1)</v>
      </c>
      <c r="E37" s="42" t="s">
        <v>83</v>
      </c>
      <c r="F37" s="26" t="s">
        <v>13</v>
      </c>
      <c r="G37" s="30">
        <v>83</v>
      </c>
      <c r="H37" s="31"/>
      <c r="I37" s="30">
        <f t="shared" si="0"/>
        <v>0</v>
      </c>
      <c r="J37" s="32"/>
      <c r="K37" s="3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="4" customFormat="1" ht="139" customHeight="1" spans="1:254">
      <c r="A38" s="26">
        <v>36</v>
      </c>
      <c r="B38" s="34"/>
      <c r="C38" s="35" t="s">
        <v>84</v>
      </c>
      <c r="D38" s="35" t="str">
        <f>_xlfn.DISPIMG("ID_01245A70F0C549E68A7E1D7EDC088361",1)</f>
        <v>=DISPIMG("ID_01245A70F0C549E68A7E1D7EDC088361",1)</v>
      </c>
      <c r="E38" s="42" t="s">
        <v>85</v>
      </c>
      <c r="F38" s="26" t="s">
        <v>13</v>
      </c>
      <c r="G38" s="30">
        <v>1</v>
      </c>
      <c r="H38" s="31"/>
      <c r="I38" s="30">
        <f t="shared" si="0"/>
        <v>0</v>
      </c>
      <c r="J38" s="32"/>
      <c r="K38" s="3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="4" customFormat="1" ht="120" customHeight="1" spans="1:254">
      <c r="A39" s="26">
        <v>37</v>
      </c>
      <c r="B39" s="34"/>
      <c r="C39" s="35" t="s">
        <v>86</v>
      </c>
      <c r="D39" s="35" t="str">
        <f>_xlfn.DISPIMG("ID_5C68AA0C04514513A3A8DDDFC7B90BEB",1)</f>
        <v>=DISPIMG("ID_5C68AA0C04514513A3A8DDDFC7B90BEB",1)</v>
      </c>
      <c r="E39" s="42" t="s">
        <v>87</v>
      </c>
      <c r="F39" s="26" t="s">
        <v>13</v>
      </c>
      <c r="G39" s="30">
        <v>48</v>
      </c>
      <c r="H39" s="31"/>
      <c r="I39" s="30">
        <f t="shared" si="0"/>
        <v>0</v>
      </c>
      <c r="J39" s="32"/>
      <c r="K39" s="3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s="4" customFormat="1" ht="120" customHeight="1" spans="1:254">
      <c r="A40" s="26">
        <v>38</v>
      </c>
      <c r="B40" s="34"/>
      <c r="C40" s="35" t="s">
        <v>88</v>
      </c>
      <c r="D40" s="35" t="str">
        <f>_xlfn.DISPIMG("ID_8FEF1CDDD6A743EDBF402A8860CA2497",1)</f>
        <v>=DISPIMG("ID_8FEF1CDDD6A743EDBF402A8860CA2497",1)</v>
      </c>
      <c r="E40" s="35" t="s">
        <v>89</v>
      </c>
      <c r="F40" s="26" t="s">
        <v>13</v>
      </c>
      <c r="G40" s="30">
        <v>36</v>
      </c>
      <c r="H40" s="31"/>
      <c r="I40" s="30">
        <f t="shared" si="0"/>
        <v>0</v>
      </c>
      <c r="J40" s="32"/>
      <c r="K40" s="3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s="4" customFormat="1" ht="141" customHeight="1" spans="1:254">
      <c r="A41" s="26">
        <v>39</v>
      </c>
      <c r="B41" s="34"/>
      <c r="C41" s="35" t="s">
        <v>90</v>
      </c>
      <c r="D41" s="35" t="str">
        <f>_xlfn.DISPIMG("ID_509A7FA68CA94219BDF487C4B180CCDC",1)</f>
        <v>=DISPIMG("ID_509A7FA68CA94219BDF487C4B180CCDC",1)</v>
      </c>
      <c r="E41" s="35" t="s">
        <v>91</v>
      </c>
      <c r="F41" s="26" t="s">
        <v>13</v>
      </c>
      <c r="G41" s="30">
        <v>14</v>
      </c>
      <c r="H41" s="31"/>
      <c r="I41" s="30">
        <f t="shared" si="0"/>
        <v>0</v>
      </c>
      <c r="J41" s="32"/>
      <c r="K41" s="3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="4" customFormat="1" ht="115" customHeight="1" spans="1:254">
      <c r="A42" s="26">
        <v>40</v>
      </c>
      <c r="B42" s="34" t="s">
        <v>41</v>
      </c>
      <c r="C42" s="35" t="s">
        <v>92</v>
      </c>
      <c r="D42" s="35" t="str">
        <f>_xlfn.DISPIMG("ID_464BAEAC14884AC49A322551E0B68AD1",1)</f>
        <v>=DISPIMG("ID_464BAEAC14884AC49A322551E0B68AD1",1)</v>
      </c>
      <c r="E42" s="35" t="s">
        <v>93</v>
      </c>
      <c r="F42" s="26" t="s">
        <v>13</v>
      </c>
      <c r="G42" s="30">
        <v>14</v>
      </c>
      <c r="H42" s="31"/>
      <c r="I42" s="30">
        <f t="shared" si="0"/>
        <v>0</v>
      </c>
      <c r="J42" s="32"/>
      <c r="K42" s="3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s="4" customFormat="1" ht="115" customHeight="1" spans="1:254">
      <c r="A43" s="26">
        <v>41</v>
      </c>
      <c r="B43" s="34"/>
      <c r="C43" s="35" t="s">
        <v>94</v>
      </c>
      <c r="D43" s="35" t="str">
        <f>_xlfn.DISPIMG("ID_5B8196596207497FA2E7DEAEC914BB16",1)</f>
        <v>=DISPIMG("ID_5B8196596207497FA2E7DEAEC914BB16",1)</v>
      </c>
      <c r="E43" s="42" t="s">
        <v>95</v>
      </c>
      <c r="F43" s="26" t="s">
        <v>13</v>
      </c>
      <c r="G43" s="30">
        <v>1</v>
      </c>
      <c r="H43" s="31"/>
      <c r="I43" s="30">
        <f t="shared" si="0"/>
        <v>0</v>
      </c>
      <c r="J43" s="32"/>
      <c r="K43" s="3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s="4" customFormat="1" ht="141" customHeight="1" spans="1:254">
      <c r="A44" s="26">
        <v>42</v>
      </c>
      <c r="B44" s="34"/>
      <c r="C44" s="35" t="s">
        <v>96</v>
      </c>
      <c r="D44" s="35" t="str">
        <f>_xlfn.DISPIMG("ID_F07A11F084004E28AF21D4934CF6CD0C",1)</f>
        <v>=DISPIMG("ID_F07A11F084004E28AF21D4934CF6CD0C",1)</v>
      </c>
      <c r="E44" s="42" t="s">
        <v>97</v>
      </c>
      <c r="F44" s="26" t="s">
        <v>16</v>
      </c>
      <c r="G44" s="30">
        <v>1</v>
      </c>
      <c r="H44" s="31"/>
      <c r="I44" s="30">
        <f t="shared" si="0"/>
        <v>0</v>
      </c>
      <c r="J44" s="32"/>
      <c r="K44" s="3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="4" customFormat="1" ht="141" customHeight="1" spans="1:254">
      <c r="A45" s="26">
        <v>43</v>
      </c>
      <c r="B45" s="36"/>
      <c r="C45" s="37" t="s">
        <v>98</v>
      </c>
      <c r="D45" s="37" t="str">
        <f>_xlfn.DISPIMG("ID_9E3B520F11B64725ACE366F5E2D9A32B",1)</f>
        <v>=DISPIMG("ID_9E3B520F11B64725ACE366F5E2D9A32B",1)</v>
      </c>
      <c r="E45" s="29" t="s">
        <v>99</v>
      </c>
      <c r="F45" s="27" t="s">
        <v>13</v>
      </c>
      <c r="G45" s="30">
        <v>2</v>
      </c>
      <c r="H45" s="31"/>
      <c r="I45" s="30">
        <f t="shared" si="0"/>
        <v>0</v>
      </c>
      <c r="J45" s="32"/>
      <c r="K45" s="3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</row>
    <row r="46" s="4" customFormat="1" ht="170" customHeight="1" spans="1:254">
      <c r="A46" s="26">
        <v>44</v>
      </c>
      <c r="B46" s="36"/>
      <c r="C46" s="37" t="s">
        <v>100</v>
      </c>
      <c r="D46" s="37" t="str">
        <f>_xlfn.DISPIMG("ID_CE5FC3A1047C4E99A2E38FA716A8064A",1)</f>
        <v>=DISPIMG("ID_CE5FC3A1047C4E99A2E38FA716A8064A",1)</v>
      </c>
      <c r="E46" s="29" t="s">
        <v>101</v>
      </c>
      <c r="F46" s="27" t="s">
        <v>13</v>
      </c>
      <c r="G46" s="30">
        <v>30</v>
      </c>
      <c r="H46" s="31"/>
      <c r="I46" s="30">
        <f t="shared" si="0"/>
        <v>0</v>
      </c>
      <c r="J46" s="32"/>
      <c r="K46" s="3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</row>
    <row r="47" s="6" customFormat="1" ht="170" customHeight="1" spans="1:254">
      <c r="A47" s="26">
        <v>45</v>
      </c>
      <c r="B47" s="36"/>
      <c r="C47" s="37" t="s">
        <v>102</v>
      </c>
      <c r="D47" s="37" t="str">
        <f>_xlfn.DISPIMG("ID_0DF2DDE7FA7642DEA8D2A29D2EAD38B0",1)</f>
        <v>=DISPIMG("ID_0DF2DDE7FA7642DEA8D2A29D2EAD38B0",1)</v>
      </c>
      <c r="E47" s="29" t="s">
        <v>103</v>
      </c>
      <c r="F47" s="27" t="s">
        <v>16</v>
      </c>
      <c r="G47" s="30">
        <v>10</v>
      </c>
      <c r="H47" s="31"/>
      <c r="I47" s="30">
        <f t="shared" si="0"/>
        <v>0</v>
      </c>
      <c r="J47" s="43"/>
      <c r="K47" s="44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</row>
    <row r="48" s="6" customFormat="1" ht="141" customHeight="1" spans="1:254">
      <c r="A48" s="26">
        <v>46</v>
      </c>
      <c r="B48" s="36"/>
      <c r="C48" s="37" t="s">
        <v>104</v>
      </c>
      <c r="D48" s="37" t="str">
        <f>_xlfn.DISPIMG("ID_741E291CC48D460D80D940769D23D380",1)</f>
        <v>=DISPIMG("ID_741E291CC48D460D80D940769D23D380",1)</v>
      </c>
      <c r="E48" s="29" t="s">
        <v>105</v>
      </c>
      <c r="F48" s="27" t="s">
        <v>16</v>
      </c>
      <c r="G48" s="30">
        <v>11</v>
      </c>
      <c r="H48" s="31"/>
      <c r="I48" s="30">
        <f t="shared" si="0"/>
        <v>0</v>
      </c>
      <c r="J48" s="43"/>
      <c r="K48" s="44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</row>
    <row r="49" s="6" customFormat="1" ht="141" customHeight="1" spans="1:254">
      <c r="A49" s="26">
        <v>47</v>
      </c>
      <c r="B49" s="36"/>
      <c r="C49" s="37" t="s">
        <v>106</v>
      </c>
      <c r="D49" s="37" t="str">
        <f>_xlfn.DISPIMG("ID_86B20B539E8045FF9DBAD438EC2A9791",1)</f>
        <v>=DISPIMG("ID_86B20B539E8045FF9DBAD438EC2A9791",1)</v>
      </c>
      <c r="E49" s="29" t="s">
        <v>107</v>
      </c>
      <c r="F49" s="27" t="s">
        <v>16</v>
      </c>
      <c r="G49" s="30">
        <v>17</v>
      </c>
      <c r="H49" s="31"/>
      <c r="I49" s="30">
        <f t="shared" si="0"/>
        <v>0</v>
      </c>
      <c r="J49" s="43"/>
      <c r="K49" s="44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</row>
    <row r="50" s="6" customFormat="1" ht="141" customHeight="1" spans="1:254">
      <c r="A50" s="26">
        <v>48</v>
      </c>
      <c r="B50" s="36"/>
      <c r="C50" s="37" t="s">
        <v>108</v>
      </c>
      <c r="D50" s="37" t="str">
        <f>_xlfn.DISPIMG("ID_C80DF16945524C89A98F94184F574603",1)</f>
        <v>=DISPIMG("ID_C80DF16945524C89A98F94184F574603",1)</v>
      </c>
      <c r="E50" s="29" t="s">
        <v>109</v>
      </c>
      <c r="F50" s="27" t="s">
        <v>16</v>
      </c>
      <c r="G50" s="30">
        <v>90</v>
      </c>
      <c r="H50" s="31"/>
      <c r="I50" s="30">
        <f t="shared" si="0"/>
        <v>0</v>
      </c>
      <c r="J50" s="43"/>
      <c r="K50" s="44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</row>
    <row r="51" s="6" customFormat="1" ht="141" customHeight="1" spans="1:254">
      <c r="A51" s="26">
        <v>49</v>
      </c>
      <c r="B51" s="36"/>
      <c r="C51" s="37" t="s">
        <v>110</v>
      </c>
      <c r="D51" s="37" t="str">
        <f>_xlfn.DISPIMG("ID_35853C64F5134E50B72D05730CDE7567",1)</f>
        <v>=DISPIMG("ID_35853C64F5134E50B72D05730CDE7567",1)</v>
      </c>
      <c r="E51" s="29" t="s">
        <v>111</v>
      </c>
      <c r="F51" s="27" t="s">
        <v>16</v>
      </c>
      <c r="G51" s="30">
        <v>24</v>
      </c>
      <c r="H51" s="31"/>
      <c r="I51" s="30">
        <f t="shared" si="0"/>
        <v>0</v>
      </c>
      <c r="J51" s="43"/>
      <c r="K51" s="44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</row>
    <row r="52" s="6" customFormat="1" ht="141" customHeight="1" spans="1:254">
      <c r="A52" s="26">
        <v>50</v>
      </c>
      <c r="B52" s="36"/>
      <c r="C52" s="37" t="s">
        <v>112</v>
      </c>
      <c r="D52" s="37" t="str">
        <f>_xlfn.DISPIMG("ID_7D2A337FC69D4075881963BD40C92399",1)</f>
        <v>=DISPIMG("ID_7D2A337FC69D4075881963BD40C92399",1)</v>
      </c>
      <c r="E52" s="29" t="s">
        <v>113</v>
      </c>
      <c r="F52" s="27" t="s">
        <v>16</v>
      </c>
      <c r="G52" s="30">
        <v>9</v>
      </c>
      <c r="H52" s="31"/>
      <c r="I52" s="30">
        <f t="shared" si="0"/>
        <v>0</v>
      </c>
      <c r="J52" s="43"/>
      <c r="K52" s="44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</row>
    <row r="53" s="6" customFormat="1" ht="141" customHeight="1" spans="1:254">
      <c r="A53" s="26">
        <v>51</v>
      </c>
      <c r="B53" s="36"/>
      <c r="C53" s="37" t="s">
        <v>114</v>
      </c>
      <c r="D53" s="37" t="str">
        <f>_xlfn.DISPIMG("ID_05BB1FA08AF24449818D326643C1BC30",1)</f>
        <v>=DISPIMG("ID_05BB1FA08AF24449818D326643C1BC30",1)</v>
      </c>
      <c r="E53" s="29" t="s">
        <v>115</v>
      </c>
      <c r="F53" s="27" t="s">
        <v>16</v>
      </c>
      <c r="G53" s="30">
        <v>1</v>
      </c>
      <c r="H53" s="31"/>
      <c r="I53" s="30">
        <f t="shared" si="0"/>
        <v>0</v>
      </c>
      <c r="J53" s="43"/>
      <c r="K53" s="44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</row>
    <row r="54" s="6" customFormat="1" ht="167" customHeight="1" spans="1:254">
      <c r="A54" s="26">
        <v>52</v>
      </c>
      <c r="B54" s="36"/>
      <c r="C54" s="37" t="s">
        <v>116</v>
      </c>
      <c r="D54" s="37" t="str">
        <f>_xlfn.DISPIMG("ID_11DD99D40B6D4823B107C8AF1801A23D",1)</f>
        <v>=DISPIMG("ID_11DD99D40B6D4823B107C8AF1801A23D",1)</v>
      </c>
      <c r="E54" s="29" t="s">
        <v>117</v>
      </c>
      <c r="F54" s="27" t="s">
        <v>13</v>
      </c>
      <c r="G54" s="30">
        <v>1</v>
      </c>
      <c r="H54" s="31"/>
      <c r="I54" s="30">
        <f t="shared" si="0"/>
        <v>0</v>
      </c>
      <c r="J54" s="43"/>
      <c r="K54" s="44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</row>
    <row r="55" s="6" customFormat="1" ht="132" customHeight="1" spans="1:254">
      <c r="A55" s="26">
        <v>53</v>
      </c>
      <c r="B55" s="36"/>
      <c r="C55" s="37" t="s">
        <v>118</v>
      </c>
      <c r="D55" s="37" t="str">
        <f>_xlfn.DISPIMG("ID_4D0E0E845B9442E78110D39CE4D1E717",1)</f>
        <v>=DISPIMG("ID_4D0E0E845B9442E78110D39CE4D1E717",1)</v>
      </c>
      <c r="E55" s="29" t="s">
        <v>119</v>
      </c>
      <c r="F55" s="27" t="s">
        <v>16</v>
      </c>
      <c r="G55" s="30">
        <v>1</v>
      </c>
      <c r="H55" s="31"/>
      <c r="I55" s="30">
        <f t="shared" si="0"/>
        <v>0</v>
      </c>
      <c r="J55" s="43"/>
      <c r="K55" s="44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</row>
    <row r="56" s="6" customFormat="1" ht="132" customHeight="1" spans="1:254">
      <c r="A56" s="26">
        <v>54</v>
      </c>
      <c r="B56" s="36"/>
      <c r="C56" s="37" t="s">
        <v>120</v>
      </c>
      <c r="D56" s="37" t="str">
        <f>_xlfn.DISPIMG("ID_0870CF8694B74827918D08846CDE6A43",1)</f>
        <v>=DISPIMG("ID_0870CF8694B74827918D08846CDE6A43",1)</v>
      </c>
      <c r="E56" s="29" t="s">
        <v>121</v>
      </c>
      <c r="F56" s="27" t="s">
        <v>16</v>
      </c>
      <c r="G56" s="30">
        <v>2</v>
      </c>
      <c r="H56" s="31"/>
      <c r="I56" s="30">
        <f t="shared" si="0"/>
        <v>0</v>
      </c>
      <c r="J56" s="43"/>
      <c r="K56" s="44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</row>
    <row r="57" s="6" customFormat="1" ht="132" customHeight="1" spans="1:254">
      <c r="A57" s="26">
        <v>55</v>
      </c>
      <c r="B57" s="36"/>
      <c r="C57" s="37" t="s">
        <v>122</v>
      </c>
      <c r="D57" s="37" t="str">
        <f>_xlfn.DISPIMG("ID_5F3CF59F7DC5459A80871872EBAA0C48",1)</f>
        <v>=DISPIMG("ID_5F3CF59F7DC5459A80871872EBAA0C48",1)</v>
      </c>
      <c r="E57" s="29" t="s">
        <v>123</v>
      </c>
      <c r="F57" s="27" t="s">
        <v>16</v>
      </c>
      <c r="G57" s="30">
        <v>3</v>
      </c>
      <c r="H57" s="31"/>
      <c r="I57" s="30">
        <f t="shared" si="0"/>
        <v>0</v>
      </c>
      <c r="J57" s="43"/>
      <c r="K57" s="44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</row>
    <row r="58" s="6" customFormat="1" ht="167" customHeight="1" spans="1:254">
      <c r="A58" s="26">
        <v>56</v>
      </c>
      <c r="B58" s="36"/>
      <c r="C58" s="37" t="s">
        <v>124</v>
      </c>
      <c r="D58" s="37" t="str">
        <f>_xlfn.DISPIMG("ID_058D9AF3F81C4C13B8114BBBCFE2856B",1)</f>
        <v>=DISPIMG("ID_058D9AF3F81C4C13B8114BBBCFE2856B",1)</v>
      </c>
      <c r="E58" s="29" t="s">
        <v>125</v>
      </c>
      <c r="F58" s="27" t="s">
        <v>13</v>
      </c>
      <c r="G58" s="30">
        <v>49</v>
      </c>
      <c r="H58" s="31"/>
      <c r="I58" s="30">
        <f t="shared" si="0"/>
        <v>0</v>
      </c>
      <c r="J58" s="43"/>
      <c r="K58" s="44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</row>
    <row r="59" s="6" customFormat="1" ht="167" customHeight="1" spans="1:254">
      <c r="A59" s="26">
        <v>57</v>
      </c>
      <c r="B59" s="36"/>
      <c r="C59" s="37" t="s">
        <v>126</v>
      </c>
      <c r="D59" s="37" t="str">
        <f>_xlfn.DISPIMG("ID_ACA4A8FBDD374E5491C7C07C33B0DA01",1)</f>
        <v>=DISPIMG("ID_ACA4A8FBDD374E5491C7C07C33B0DA01",1)</v>
      </c>
      <c r="E59" s="29" t="s">
        <v>127</v>
      </c>
      <c r="F59" s="27" t="s">
        <v>13</v>
      </c>
      <c r="G59" s="30">
        <v>1</v>
      </c>
      <c r="H59" s="31"/>
      <c r="I59" s="30">
        <f t="shared" si="0"/>
        <v>0</v>
      </c>
      <c r="J59" s="43"/>
      <c r="K59" s="4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</row>
    <row r="60" s="6" customFormat="1" ht="161" customHeight="1" spans="1:254">
      <c r="A60" s="26">
        <v>58</v>
      </c>
      <c r="B60" s="36"/>
      <c r="C60" s="37" t="s">
        <v>128</v>
      </c>
      <c r="D60" s="37" t="str">
        <f>_xlfn.DISPIMG("ID_52338F201E544E48AEDDA9DC37A0425B",1)</f>
        <v>=DISPIMG("ID_52338F201E544E48AEDDA9DC37A0425B",1)</v>
      </c>
      <c r="E60" s="29" t="s">
        <v>129</v>
      </c>
      <c r="F60" s="27" t="s">
        <v>13</v>
      </c>
      <c r="G60" s="30">
        <v>29</v>
      </c>
      <c r="H60" s="31"/>
      <c r="I60" s="30">
        <f t="shared" si="0"/>
        <v>0</v>
      </c>
      <c r="J60" s="43"/>
      <c r="K60" s="44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</row>
    <row r="61" s="6" customFormat="1" ht="122" customHeight="1" spans="1:254">
      <c r="A61" s="26">
        <v>59</v>
      </c>
      <c r="B61" s="36"/>
      <c r="C61" s="37" t="s">
        <v>130</v>
      </c>
      <c r="D61" s="37" t="str">
        <f>_xlfn.DISPIMG("ID_5CCDB4C95B994BD88DD6A47FBE91477F",1)</f>
        <v>=DISPIMG("ID_5CCDB4C95B994BD88DD6A47FBE91477F",1)</v>
      </c>
      <c r="E61" s="29" t="s">
        <v>131</v>
      </c>
      <c r="F61" s="27" t="s">
        <v>13</v>
      </c>
      <c r="G61" s="30">
        <v>4</v>
      </c>
      <c r="H61" s="31"/>
      <c r="I61" s="30">
        <f t="shared" si="0"/>
        <v>0</v>
      </c>
      <c r="J61" s="43"/>
      <c r="K61" s="44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</row>
    <row r="62" s="6" customFormat="1" ht="122" customHeight="1" spans="1:254">
      <c r="A62" s="26">
        <v>60</v>
      </c>
      <c r="B62" s="36"/>
      <c r="C62" s="37" t="s">
        <v>132</v>
      </c>
      <c r="D62" s="37" t="str">
        <f>_xlfn.DISPIMG("ID_35F7A2D41B694EACAAAD848AD65E9E79",1)</f>
        <v>=DISPIMG("ID_35F7A2D41B694EACAAAD848AD65E9E79",1)</v>
      </c>
      <c r="E62" s="29" t="s">
        <v>133</v>
      </c>
      <c r="F62" s="27" t="s">
        <v>13</v>
      </c>
      <c r="G62" s="30">
        <v>3</v>
      </c>
      <c r="H62" s="31"/>
      <c r="I62" s="30">
        <f t="shared" si="0"/>
        <v>0</v>
      </c>
      <c r="J62" s="43"/>
      <c r="K62" s="44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</row>
    <row r="63" s="6" customFormat="1" ht="122" customHeight="1" spans="1:254">
      <c r="A63" s="26">
        <v>61</v>
      </c>
      <c r="B63" s="36"/>
      <c r="C63" s="37" t="s">
        <v>134</v>
      </c>
      <c r="D63" s="37" t="str">
        <f>_xlfn.DISPIMG("ID_E24F684D4E0541309A6FB680E2C68799",1)</f>
        <v>=DISPIMG("ID_E24F684D4E0541309A6FB680E2C68799",1)</v>
      </c>
      <c r="E63" s="29" t="s">
        <v>135</v>
      </c>
      <c r="F63" s="27" t="s">
        <v>13</v>
      </c>
      <c r="G63" s="30">
        <v>2</v>
      </c>
      <c r="H63" s="31"/>
      <c r="I63" s="30">
        <f t="shared" si="0"/>
        <v>0</v>
      </c>
      <c r="J63" s="43"/>
      <c r="K63" s="44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</row>
    <row r="64" s="6" customFormat="1" ht="122" customHeight="1" spans="1:254">
      <c r="A64" s="26">
        <v>62</v>
      </c>
      <c r="B64" s="36"/>
      <c r="C64" s="37" t="s">
        <v>136</v>
      </c>
      <c r="D64" s="37" t="str">
        <f>_xlfn.DISPIMG("ID_404748C5873E46A0AA58D8650BE13373",1)</f>
        <v>=DISPIMG("ID_404748C5873E46A0AA58D8650BE13373",1)</v>
      </c>
      <c r="E64" s="29" t="s">
        <v>137</v>
      </c>
      <c r="F64" s="27" t="s">
        <v>13</v>
      </c>
      <c r="G64" s="30">
        <v>1</v>
      </c>
      <c r="H64" s="31"/>
      <c r="I64" s="30">
        <f t="shared" si="0"/>
        <v>0</v>
      </c>
      <c r="J64" s="43"/>
      <c r="K64" s="44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</row>
    <row r="65" s="6" customFormat="1" ht="122" customHeight="1" spans="1:254">
      <c r="A65" s="26">
        <v>63</v>
      </c>
      <c r="B65" s="36"/>
      <c r="C65" s="37" t="s">
        <v>138</v>
      </c>
      <c r="D65" s="37" t="str">
        <f>_xlfn.DISPIMG("ID_B9A633D5E5D047389010D05A16A3452E",1)</f>
        <v>=DISPIMG("ID_B9A633D5E5D047389010D05A16A3452E",1)</v>
      </c>
      <c r="E65" s="29" t="s">
        <v>139</v>
      </c>
      <c r="F65" s="27" t="s">
        <v>13</v>
      </c>
      <c r="G65" s="30">
        <v>1</v>
      </c>
      <c r="H65" s="31"/>
      <c r="I65" s="30">
        <f t="shared" si="0"/>
        <v>0</v>
      </c>
      <c r="J65" s="43"/>
      <c r="K65" s="44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</row>
    <row r="66" s="6" customFormat="1" ht="102" customHeight="1" spans="1:254">
      <c r="A66" s="26">
        <v>64</v>
      </c>
      <c r="B66" s="36" t="s">
        <v>41</v>
      </c>
      <c r="C66" s="37" t="s">
        <v>140</v>
      </c>
      <c r="D66" s="37" t="str">
        <f>_xlfn.DISPIMG("ID_F150E9EE3CBD4CD2B9D2852AF83F6B61",1)</f>
        <v>=DISPIMG("ID_F150E9EE3CBD4CD2B9D2852AF83F6B61",1)</v>
      </c>
      <c r="E66" s="29" t="s">
        <v>141</v>
      </c>
      <c r="F66" s="27" t="s">
        <v>13</v>
      </c>
      <c r="G66" s="30">
        <v>22</v>
      </c>
      <c r="H66" s="31"/>
      <c r="I66" s="30">
        <f t="shared" si="0"/>
        <v>0</v>
      </c>
      <c r="J66" s="43"/>
      <c r="K66" s="44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</row>
    <row r="67" s="6" customFormat="1" ht="102" customHeight="1" spans="1:254">
      <c r="A67" s="26">
        <v>65</v>
      </c>
      <c r="B67" s="36"/>
      <c r="C67" s="37" t="s">
        <v>142</v>
      </c>
      <c r="D67" s="37" t="str">
        <f>_xlfn.DISPIMG("ID_E4BFB01129D1484CB2FF83C4B7DE08B5",1)</f>
        <v>=DISPIMG("ID_E4BFB01129D1484CB2FF83C4B7DE08B5",1)</v>
      </c>
      <c r="E67" s="29" t="s">
        <v>143</v>
      </c>
      <c r="F67" s="27" t="s">
        <v>13</v>
      </c>
      <c r="G67" s="30">
        <v>4</v>
      </c>
      <c r="H67" s="31"/>
      <c r="I67" s="30">
        <f t="shared" ref="I67:I130" si="1">G67*H67</f>
        <v>0</v>
      </c>
      <c r="J67" s="43"/>
      <c r="K67" s="44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</row>
    <row r="68" s="6" customFormat="1" ht="102" customHeight="1" spans="1:254">
      <c r="A68" s="26">
        <v>66</v>
      </c>
      <c r="B68" s="36"/>
      <c r="C68" s="37" t="s">
        <v>144</v>
      </c>
      <c r="D68" s="37" t="str">
        <f>_xlfn.DISPIMG("ID_0663E163A605419A8CABB767735F5608",1)</f>
        <v>=DISPIMG("ID_0663E163A605419A8CABB767735F5608",1)</v>
      </c>
      <c r="E68" s="29" t="s">
        <v>145</v>
      </c>
      <c r="F68" s="27" t="s">
        <v>13</v>
      </c>
      <c r="G68" s="30">
        <v>1</v>
      </c>
      <c r="H68" s="31"/>
      <c r="I68" s="30">
        <f t="shared" si="1"/>
        <v>0</v>
      </c>
      <c r="J68" s="43"/>
      <c r="K68" s="44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</row>
    <row r="69" s="6" customFormat="1" ht="102" customHeight="1" spans="1:254">
      <c r="A69" s="26">
        <v>67</v>
      </c>
      <c r="B69" s="36"/>
      <c r="C69" s="37" t="s">
        <v>146</v>
      </c>
      <c r="D69" s="37" t="str">
        <f>_xlfn.DISPIMG("ID_A66B7A92884247CFAEB3BF610CBDCFA9",1)</f>
        <v>=DISPIMG("ID_A66B7A92884247CFAEB3BF610CBDCFA9",1)</v>
      </c>
      <c r="E69" s="29" t="s">
        <v>147</v>
      </c>
      <c r="F69" s="27" t="s">
        <v>13</v>
      </c>
      <c r="G69" s="30">
        <v>1</v>
      </c>
      <c r="H69" s="31"/>
      <c r="I69" s="30">
        <f t="shared" si="1"/>
        <v>0</v>
      </c>
      <c r="J69" s="43"/>
      <c r="K69" s="44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</row>
    <row r="70" s="6" customFormat="1" ht="161" customHeight="1" spans="1:254">
      <c r="A70" s="26">
        <v>68</v>
      </c>
      <c r="B70" s="36"/>
      <c r="C70" s="37" t="s">
        <v>148</v>
      </c>
      <c r="D70" s="37" t="str">
        <f>_xlfn.DISPIMG("ID_EDE0B20948394315BC412E58AE009227",1)</f>
        <v>=DISPIMG("ID_EDE0B20948394315BC412E58AE009227",1)</v>
      </c>
      <c r="E70" s="29" t="s">
        <v>149</v>
      </c>
      <c r="F70" s="27" t="s">
        <v>13</v>
      </c>
      <c r="G70" s="30">
        <v>2</v>
      </c>
      <c r="H70" s="31"/>
      <c r="I70" s="30">
        <f t="shared" si="1"/>
        <v>0</v>
      </c>
      <c r="J70" s="43"/>
      <c r="K70" s="44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</row>
    <row r="71" s="6" customFormat="1" ht="161" customHeight="1" spans="1:254">
      <c r="A71" s="26">
        <v>69</v>
      </c>
      <c r="B71" s="36"/>
      <c r="C71" s="37" t="s">
        <v>150</v>
      </c>
      <c r="D71" s="37" t="str">
        <f>_xlfn.DISPIMG("ID_3C5BE11597B247F5976F31224EE8DE46",1)</f>
        <v>=DISPIMG("ID_3C5BE11597B247F5976F31224EE8DE46",1)</v>
      </c>
      <c r="E71" s="29" t="s">
        <v>151</v>
      </c>
      <c r="F71" s="27" t="s">
        <v>13</v>
      </c>
      <c r="G71" s="30">
        <v>1</v>
      </c>
      <c r="H71" s="31"/>
      <c r="I71" s="30">
        <f t="shared" si="1"/>
        <v>0</v>
      </c>
      <c r="J71" s="43"/>
      <c r="K71" s="44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</row>
    <row r="72" s="6" customFormat="1" ht="161" customHeight="1" spans="1:254">
      <c r="A72" s="26">
        <v>70</v>
      </c>
      <c r="B72" s="36"/>
      <c r="C72" s="37" t="s">
        <v>152</v>
      </c>
      <c r="D72" s="37" t="str">
        <f>_xlfn.DISPIMG("ID_934F21540472484E96F3F2B06204A926",1)</f>
        <v>=DISPIMG("ID_934F21540472484E96F3F2B06204A926",1)</v>
      </c>
      <c r="E72" s="29" t="s">
        <v>153</v>
      </c>
      <c r="F72" s="27" t="s">
        <v>13</v>
      </c>
      <c r="G72" s="30">
        <v>12</v>
      </c>
      <c r="H72" s="31"/>
      <c r="I72" s="30">
        <f t="shared" si="1"/>
        <v>0</v>
      </c>
      <c r="J72" s="43"/>
      <c r="K72" s="44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</row>
    <row r="73" s="6" customFormat="1" ht="161" customHeight="1" spans="1:254">
      <c r="A73" s="26">
        <v>71</v>
      </c>
      <c r="B73" s="36"/>
      <c r="C73" s="37" t="s">
        <v>154</v>
      </c>
      <c r="D73" s="37" t="str">
        <f>_xlfn.DISPIMG("ID_0AD9A30F58D8410AA7E73ABC02F26327",1)</f>
        <v>=DISPIMG("ID_0AD9A30F58D8410AA7E73ABC02F26327",1)</v>
      </c>
      <c r="E73" s="29" t="s">
        <v>155</v>
      </c>
      <c r="F73" s="27" t="s">
        <v>13</v>
      </c>
      <c r="G73" s="30">
        <v>1</v>
      </c>
      <c r="H73" s="31"/>
      <c r="I73" s="30">
        <f t="shared" si="1"/>
        <v>0</v>
      </c>
      <c r="J73" s="43"/>
      <c r="K73" s="44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</row>
    <row r="74" s="6" customFormat="1" ht="161" customHeight="1" spans="1:254">
      <c r="A74" s="26">
        <v>72</v>
      </c>
      <c r="B74" s="36"/>
      <c r="C74" s="37" t="s">
        <v>156</v>
      </c>
      <c r="D74" s="37" t="str">
        <f>_xlfn.DISPIMG("ID_2054C8669CE3485CB63CAB23C174E6D1",1)</f>
        <v>=DISPIMG("ID_2054C8669CE3485CB63CAB23C174E6D1",1)</v>
      </c>
      <c r="E74" s="29" t="s">
        <v>157</v>
      </c>
      <c r="F74" s="27" t="s">
        <v>13</v>
      </c>
      <c r="G74" s="30">
        <v>1</v>
      </c>
      <c r="H74" s="31"/>
      <c r="I74" s="30">
        <f t="shared" si="1"/>
        <v>0</v>
      </c>
      <c r="J74" s="43"/>
      <c r="K74" s="44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</row>
    <row r="75" s="6" customFormat="1" ht="161" customHeight="1" spans="1:254">
      <c r="A75" s="26">
        <v>73</v>
      </c>
      <c r="B75" s="36"/>
      <c r="C75" s="37" t="s">
        <v>158</v>
      </c>
      <c r="D75" s="37" t="str">
        <f>_xlfn.DISPIMG("ID_9880BA2696F5462C86158FAE854F30BB",1)</f>
        <v>=DISPIMG("ID_9880BA2696F5462C86158FAE854F30BB",1)</v>
      </c>
      <c r="E75" s="29" t="s">
        <v>159</v>
      </c>
      <c r="F75" s="27" t="s">
        <v>13</v>
      </c>
      <c r="G75" s="30">
        <v>2</v>
      </c>
      <c r="H75" s="31"/>
      <c r="I75" s="30">
        <f t="shared" si="1"/>
        <v>0</v>
      </c>
      <c r="J75" s="43"/>
      <c r="K75" s="44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</row>
    <row r="76" s="6" customFormat="1" ht="161" customHeight="1" spans="1:254">
      <c r="A76" s="26">
        <v>74</v>
      </c>
      <c r="B76" s="36"/>
      <c r="C76" s="37" t="s">
        <v>160</v>
      </c>
      <c r="D76" s="37" t="str">
        <f>_xlfn.DISPIMG("ID_BBB33C1979334F6A9FA34451112A6223",1)</f>
        <v>=DISPIMG("ID_BBB33C1979334F6A9FA34451112A6223",1)</v>
      </c>
      <c r="E76" s="29" t="s">
        <v>161</v>
      </c>
      <c r="F76" s="27" t="s">
        <v>13</v>
      </c>
      <c r="G76" s="30">
        <v>1</v>
      </c>
      <c r="H76" s="31"/>
      <c r="I76" s="30">
        <f t="shared" si="1"/>
        <v>0</v>
      </c>
      <c r="J76" s="43"/>
      <c r="K76" s="44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</row>
    <row r="77" s="6" customFormat="1" ht="161" customHeight="1" spans="1:254">
      <c r="A77" s="26">
        <v>75</v>
      </c>
      <c r="B77" s="36"/>
      <c r="C77" s="37" t="s">
        <v>162</v>
      </c>
      <c r="D77" s="37" t="str">
        <f>_xlfn.DISPIMG("ID_F986AED4396B4D8C9E11B7BFEFB4FE82",1)</f>
        <v>=DISPIMG("ID_F986AED4396B4D8C9E11B7BFEFB4FE82",1)</v>
      </c>
      <c r="E77" s="29" t="s">
        <v>163</v>
      </c>
      <c r="F77" s="27" t="s">
        <v>13</v>
      </c>
      <c r="G77" s="30">
        <v>1</v>
      </c>
      <c r="H77" s="31"/>
      <c r="I77" s="30">
        <f t="shared" si="1"/>
        <v>0</v>
      </c>
      <c r="J77" s="43"/>
      <c r="K77" s="44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</row>
    <row r="78" s="6" customFormat="1" ht="161" customHeight="1" spans="1:254">
      <c r="A78" s="26">
        <v>76</v>
      </c>
      <c r="B78" s="36"/>
      <c r="C78" s="37" t="s">
        <v>164</v>
      </c>
      <c r="D78" s="37" t="str">
        <f>_xlfn.DISPIMG("ID_BBEA8355F14F4B01AFC8F33211F88CC9",1)</f>
        <v>=DISPIMG("ID_BBEA8355F14F4B01AFC8F33211F88CC9",1)</v>
      </c>
      <c r="E78" s="29" t="s">
        <v>165</v>
      </c>
      <c r="F78" s="27" t="s">
        <v>13</v>
      </c>
      <c r="G78" s="30">
        <v>1</v>
      </c>
      <c r="H78" s="31"/>
      <c r="I78" s="30">
        <f t="shared" si="1"/>
        <v>0</v>
      </c>
      <c r="J78" s="43"/>
      <c r="K78" s="44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5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  <c r="HS78" s="45"/>
      <c r="HT78" s="45"/>
      <c r="HU78" s="45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</row>
    <row r="79" s="6" customFormat="1" ht="161" customHeight="1" spans="1:254">
      <c r="A79" s="26">
        <v>77</v>
      </c>
      <c r="B79" s="36"/>
      <c r="C79" s="37" t="s">
        <v>166</v>
      </c>
      <c r="D79" s="37" t="str">
        <f>_xlfn.DISPIMG("ID_F5113133509A474197C51D2F409F1D08",1)</f>
        <v>=DISPIMG("ID_F5113133509A474197C51D2F409F1D08",1)</v>
      </c>
      <c r="E79" s="29" t="s">
        <v>167</v>
      </c>
      <c r="F79" s="27" t="s">
        <v>13</v>
      </c>
      <c r="G79" s="30">
        <v>17</v>
      </c>
      <c r="H79" s="31"/>
      <c r="I79" s="30">
        <f t="shared" si="1"/>
        <v>0</v>
      </c>
      <c r="J79" s="43"/>
      <c r="K79" s="44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</row>
    <row r="80" s="6" customFormat="1" ht="161" customHeight="1" spans="1:254">
      <c r="A80" s="26">
        <v>78</v>
      </c>
      <c r="B80" s="36"/>
      <c r="C80" s="37" t="s">
        <v>168</v>
      </c>
      <c r="D80" s="37" t="str">
        <f>_xlfn.DISPIMG("ID_56DDCA208B504119A944A12F5103D266",1)</f>
        <v>=DISPIMG("ID_56DDCA208B504119A944A12F5103D266",1)</v>
      </c>
      <c r="E80" s="29" t="s">
        <v>169</v>
      </c>
      <c r="F80" s="27" t="s">
        <v>13</v>
      </c>
      <c r="G80" s="30">
        <v>1</v>
      </c>
      <c r="H80" s="31"/>
      <c r="I80" s="30">
        <f t="shared" si="1"/>
        <v>0</v>
      </c>
      <c r="J80" s="43"/>
      <c r="K80" s="44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</row>
    <row r="81" s="6" customFormat="1" ht="161" customHeight="1" spans="1:254">
      <c r="A81" s="26">
        <v>79</v>
      </c>
      <c r="B81" s="36"/>
      <c r="C81" s="37" t="s">
        <v>170</v>
      </c>
      <c r="D81" s="37" t="str">
        <f>_xlfn.DISPIMG("ID_4EC725157C0240D8843F46CE8BA3CA51",1)</f>
        <v>=DISPIMG("ID_4EC725157C0240D8843F46CE8BA3CA51",1)</v>
      </c>
      <c r="E81" s="29" t="s">
        <v>171</v>
      </c>
      <c r="F81" s="27" t="s">
        <v>13</v>
      </c>
      <c r="G81" s="30">
        <v>1</v>
      </c>
      <c r="H81" s="31"/>
      <c r="I81" s="30">
        <f t="shared" si="1"/>
        <v>0</v>
      </c>
      <c r="J81" s="43"/>
      <c r="K81" s="44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</row>
    <row r="82" s="6" customFormat="1" ht="161" customHeight="1" spans="1:254">
      <c r="A82" s="26">
        <v>80</v>
      </c>
      <c r="B82" s="36"/>
      <c r="C82" s="37" t="s">
        <v>172</v>
      </c>
      <c r="D82" s="37" t="str">
        <f>_xlfn.DISPIMG("ID_9AD03F23CC4942B8BE5F8905C26EAF49",1)</f>
        <v>=DISPIMG("ID_9AD03F23CC4942B8BE5F8905C26EAF49",1)</v>
      </c>
      <c r="E82" s="29" t="s">
        <v>173</v>
      </c>
      <c r="F82" s="27" t="s">
        <v>13</v>
      </c>
      <c r="G82" s="30">
        <v>1</v>
      </c>
      <c r="H82" s="31"/>
      <c r="I82" s="30">
        <f t="shared" si="1"/>
        <v>0</v>
      </c>
      <c r="J82" s="43"/>
      <c r="K82" s="44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45"/>
      <c r="IK82" s="45"/>
      <c r="IL82" s="45"/>
      <c r="IM82" s="45"/>
      <c r="IN82" s="45"/>
      <c r="IO82" s="45"/>
      <c r="IP82" s="45"/>
      <c r="IQ82" s="45"/>
      <c r="IR82" s="45"/>
      <c r="IS82" s="45"/>
      <c r="IT82" s="45"/>
    </row>
    <row r="83" s="6" customFormat="1" ht="161" customHeight="1" spans="1:254">
      <c r="A83" s="26">
        <v>81</v>
      </c>
      <c r="B83" s="36"/>
      <c r="C83" s="37" t="s">
        <v>174</v>
      </c>
      <c r="D83" s="37" t="str">
        <f>_xlfn.DISPIMG("ID_5657D26BE47C4B7FAFE12564B7843471",1)</f>
        <v>=DISPIMG("ID_5657D26BE47C4B7FAFE12564B7843471",1)</v>
      </c>
      <c r="E83" s="29" t="s">
        <v>175</v>
      </c>
      <c r="F83" s="27" t="s">
        <v>13</v>
      </c>
      <c r="G83" s="30">
        <v>1</v>
      </c>
      <c r="H83" s="31"/>
      <c r="I83" s="30">
        <f t="shared" si="1"/>
        <v>0</v>
      </c>
      <c r="J83" s="43"/>
      <c r="K83" s="44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</row>
    <row r="84" s="6" customFormat="1" ht="161" customHeight="1" spans="1:254">
      <c r="A84" s="26">
        <v>82</v>
      </c>
      <c r="B84" s="36"/>
      <c r="C84" s="37" t="s">
        <v>176</v>
      </c>
      <c r="D84" s="37" t="str">
        <f>_xlfn.DISPIMG("ID_5A5816FF5FA74072A504958E203537E2",1)</f>
        <v>=DISPIMG("ID_5A5816FF5FA74072A504958E203537E2",1)</v>
      </c>
      <c r="E84" s="29" t="s">
        <v>177</v>
      </c>
      <c r="F84" s="27" t="s">
        <v>13</v>
      </c>
      <c r="G84" s="30">
        <v>5</v>
      </c>
      <c r="H84" s="31"/>
      <c r="I84" s="30">
        <f t="shared" si="1"/>
        <v>0</v>
      </c>
      <c r="J84" s="43"/>
      <c r="K84" s="4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</row>
    <row r="85" s="6" customFormat="1" ht="161" customHeight="1" spans="1:254">
      <c r="A85" s="26">
        <v>83</v>
      </c>
      <c r="B85" s="36"/>
      <c r="C85" s="37" t="s">
        <v>178</v>
      </c>
      <c r="D85" s="37" t="str">
        <f>_xlfn.DISPIMG("ID_899CBEC2406F48168088DE2AB8A6D0DB",1)</f>
        <v>=DISPIMG("ID_899CBEC2406F48168088DE2AB8A6D0DB",1)</v>
      </c>
      <c r="E85" s="29" t="s">
        <v>179</v>
      </c>
      <c r="F85" s="27" t="s">
        <v>13</v>
      </c>
      <c r="G85" s="30">
        <v>3</v>
      </c>
      <c r="H85" s="31"/>
      <c r="I85" s="30">
        <f t="shared" si="1"/>
        <v>0</v>
      </c>
      <c r="J85" s="43"/>
      <c r="K85" s="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</row>
    <row r="86" s="6" customFormat="1" ht="161" customHeight="1" spans="1:254">
      <c r="A86" s="26">
        <v>84</v>
      </c>
      <c r="B86" s="36"/>
      <c r="C86" s="37" t="s">
        <v>180</v>
      </c>
      <c r="D86" s="37" t="str">
        <f>_xlfn.DISPIMG("ID_24A9C7237A1E49E198E438F8350D5251",1)</f>
        <v>=DISPIMG("ID_24A9C7237A1E49E198E438F8350D5251",1)</v>
      </c>
      <c r="E86" s="29" t="s">
        <v>181</v>
      </c>
      <c r="F86" s="27" t="s">
        <v>13</v>
      </c>
      <c r="G86" s="30">
        <v>3</v>
      </c>
      <c r="H86" s="31"/>
      <c r="I86" s="30">
        <f t="shared" si="1"/>
        <v>0</v>
      </c>
      <c r="J86" s="43"/>
      <c r="K86" s="44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</row>
    <row r="87" s="6" customFormat="1" ht="161" customHeight="1" spans="1:254">
      <c r="A87" s="26">
        <v>85</v>
      </c>
      <c r="B87" s="36"/>
      <c r="C87" s="37" t="s">
        <v>182</v>
      </c>
      <c r="D87" s="37" t="str">
        <f>_xlfn.DISPIMG("ID_9D980EC5D7BF41DE967C61761EEE1363",1)</f>
        <v>=DISPIMG("ID_9D980EC5D7BF41DE967C61761EEE1363",1)</v>
      </c>
      <c r="E87" s="29" t="s">
        <v>183</v>
      </c>
      <c r="F87" s="27" t="s">
        <v>13</v>
      </c>
      <c r="G87" s="30">
        <v>2</v>
      </c>
      <c r="H87" s="31"/>
      <c r="I87" s="30">
        <f t="shared" si="1"/>
        <v>0</v>
      </c>
      <c r="J87" s="43"/>
      <c r="K87" s="44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</row>
    <row r="88" s="6" customFormat="1" ht="161" customHeight="1" spans="1:254">
      <c r="A88" s="26">
        <v>86</v>
      </c>
      <c r="B88" s="36"/>
      <c r="C88" s="37" t="s">
        <v>184</v>
      </c>
      <c r="D88" s="37" t="str">
        <f>_xlfn.DISPIMG("ID_990FE060D7314C6EA73782ECCDA0DE60",1)</f>
        <v>=DISPIMG("ID_990FE060D7314C6EA73782ECCDA0DE60",1)</v>
      </c>
      <c r="E88" s="29" t="s">
        <v>185</v>
      </c>
      <c r="F88" s="27" t="s">
        <v>13</v>
      </c>
      <c r="G88" s="30">
        <v>1</v>
      </c>
      <c r="H88" s="31"/>
      <c r="I88" s="30">
        <f t="shared" si="1"/>
        <v>0</v>
      </c>
      <c r="J88" s="43"/>
      <c r="K88" s="44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</row>
    <row r="89" s="6" customFormat="1" ht="161" customHeight="1" spans="1:254">
      <c r="A89" s="26">
        <v>87</v>
      </c>
      <c r="B89" s="36"/>
      <c r="C89" s="37" t="s">
        <v>186</v>
      </c>
      <c r="D89" s="37" t="str">
        <f>_xlfn.DISPIMG("ID_9543A86AE0154EE0AA4F361322DE7C38",1)</f>
        <v>=DISPIMG("ID_9543A86AE0154EE0AA4F361322DE7C38",1)</v>
      </c>
      <c r="E89" s="29" t="s">
        <v>187</v>
      </c>
      <c r="F89" s="27" t="s">
        <v>13</v>
      </c>
      <c r="G89" s="30">
        <v>1</v>
      </c>
      <c r="H89" s="31"/>
      <c r="I89" s="30">
        <f t="shared" si="1"/>
        <v>0</v>
      </c>
      <c r="J89" s="43"/>
      <c r="K89" s="44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  <c r="IP89" s="45"/>
      <c r="IQ89" s="45"/>
      <c r="IR89" s="45"/>
      <c r="IS89" s="45"/>
      <c r="IT89" s="45"/>
    </row>
    <row r="90" s="6" customFormat="1" ht="161" customHeight="1" spans="1:254">
      <c r="A90" s="26">
        <v>88</v>
      </c>
      <c r="B90" s="36"/>
      <c r="C90" s="37" t="s">
        <v>188</v>
      </c>
      <c r="D90" s="37" t="str">
        <f>_xlfn.DISPIMG("ID_676FFEF1F28E42278AC3B433E7385576",1)</f>
        <v>=DISPIMG("ID_676FFEF1F28E42278AC3B433E7385576",1)</v>
      </c>
      <c r="E90" s="29" t="s">
        <v>189</v>
      </c>
      <c r="F90" s="27" t="s">
        <v>13</v>
      </c>
      <c r="G90" s="30">
        <v>1</v>
      </c>
      <c r="H90" s="31"/>
      <c r="I90" s="30">
        <f t="shared" si="1"/>
        <v>0</v>
      </c>
      <c r="J90" s="43"/>
      <c r="K90" s="44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</row>
    <row r="91" s="6" customFormat="1" ht="161" customHeight="1" spans="1:254">
      <c r="A91" s="26">
        <v>89</v>
      </c>
      <c r="B91" s="36"/>
      <c r="C91" s="37" t="s">
        <v>190</v>
      </c>
      <c r="D91" s="37" t="str">
        <f>_xlfn.DISPIMG("ID_6C7FC32DC4EF4460B0F4DA6FB44F5CC6",1)</f>
        <v>=DISPIMG("ID_6C7FC32DC4EF4460B0F4DA6FB44F5CC6",1)</v>
      </c>
      <c r="E91" s="29" t="s">
        <v>191</v>
      </c>
      <c r="F91" s="27" t="s">
        <v>13</v>
      </c>
      <c r="G91" s="30">
        <v>1</v>
      </c>
      <c r="H91" s="31"/>
      <c r="I91" s="30">
        <f t="shared" si="1"/>
        <v>0</v>
      </c>
      <c r="J91" s="43"/>
      <c r="K91" s="44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5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  <c r="IP91" s="45"/>
      <c r="IQ91" s="45"/>
      <c r="IR91" s="45"/>
      <c r="IS91" s="45"/>
      <c r="IT91" s="45"/>
    </row>
    <row r="92" s="6" customFormat="1" ht="153" customHeight="1" spans="1:254">
      <c r="A92" s="26">
        <v>90</v>
      </c>
      <c r="B92" s="36"/>
      <c r="C92" s="37" t="s">
        <v>192</v>
      </c>
      <c r="D92" s="37" t="str">
        <f>_xlfn.DISPIMG("ID_2952A21DC7FE4DD39FBFB1FB98C6264F",1)</f>
        <v>=DISPIMG("ID_2952A21DC7FE4DD39FBFB1FB98C6264F",1)</v>
      </c>
      <c r="E92" s="29" t="s">
        <v>193</v>
      </c>
      <c r="F92" s="27" t="s">
        <v>13</v>
      </c>
      <c r="G92" s="30">
        <v>1</v>
      </c>
      <c r="H92" s="31"/>
      <c r="I92" s="30">
        <f t="shared" si="1"/>
        <v>0</v>
      </c>
      <c r="J92" s="43"/>
      <c r="K92" s="44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5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  <c r="IP92" s="45"/>
      <c r="IQ92" s="45"/>
      <c r="IR92" s="45"/>
      <c r="IS92" s="45"/>
      <c r="IT92" s="45"/>
    </row>
    <row r="93" s="6" customFormat="1" ht="153" customHeight="1" spans="1:254">
      <c r="A93" s="26">
        <v>91</v>
      </c>
      <c r="B93" s="36"/>
      <c r="C93" s="37" t="s">
        <v>194</v>
      </c>
      <c r="D93" s="37" t="str">
        <f>_xlfn.DISPIMG("ID_0F749E1489534F5DA2242DE2F2F39A7B",1)</f>
        <v>=DISPIMG("ID_0F749E1489534F5DA2242DE2F2F39A7B",1)</v>
      </c>
      <c r="E93" s="29" t="s">
        <v>195</v>
      </c>
      <c r="F93" s="27" t="s">
        <v>13</v>
      </c>
      <c r="G93" s="30">
        <v>1</v>
      </c>
      <c r="H93" s="31"/>
      <c r="I93" s="30">
        <f t="shared" si="1"/>
        <v>0</v>
      </c>
      <c r="J93" s="43"/>
      <c r="K93" s="44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</row>
    <row r="94" s="6" customFormat="1" ht="153" customHeight="1" spans="1:254">
      <c r="A94" s="26">
        <v>92</v>
      </c>
      <c r="B94" s="36"/>
      <c r="C94" s="37" t="s">
        <v>196</v>
      </c>
      <c r="D94" s="37" t="str">
        <f>_xlfn.DISPIMG("ID_06AD97484377423AA984CD4CE6CC5373",1)</f>
        <v>=DISPIMG("ID_06AD97484377423AA984CD4CE6CC5373",1)</v>
      </c>
      <c r="E94" s="29" t="s">
        <v>197</v>
      </c>
      <c r="F94" s="27" t="s">
        <v>13</v>
      </c>
      <c r="G94" s="30">
        <v>1</v>
      </c>
      <c r="H94" s="31"/>
      <c r="I94" s="30">
        <f t="shared" si="1"/>
        <v>0</v>
      </c>
      <c r="J94" s="43"/>
      <c r="K94" s="44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</row>
    <row r="95" s="6" customFormat="1" ht="163" customHeight="1" spans="1:254">
      <c r="A95" s="26">
        <v>93</v>
      </c>
      <c r="B95" s="36"/>
      <c r="C95" s="37" t="s">
        <v>198</v>
      </c>
      <c r="D95" s="37" t="str">
        <f>_xlfn.DISPIMG("ID_60BC0D78BB82423480A858F58157AC5B",1)</f>
        <v>=DISPIMG("ID_60BC0D78BB82423480A858F58157AC5B",1)</v>
      </c>
      <c r="E95" s="29" t="s">
        <v>199</v>
      </c>
      <c r="F95" s="27" t="s">
        <v>13</v>
      </c>
      <c r="G95" s="30">
        <v>1</v>
      </c>
      <c r="H95" s="31"/>
      <c r="I95" s="30">
        <f t="shared" si="1"/>
        <v>0</v>
      </c>
      <c r="J95" s="43"/>
      <c r="K95" s="44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</row>
    <row r="96" s="6" customFormat="1" ht="163" customHeight="1" spans="1:254">
      <c r="A96" s="26">
        <v>94</v>
      </c>
      <c r="B96" s="36"/>
      <c r="C96" s="37" t="s">
        <v>200</v>
      </c>
      <c r="D96" s="37" t="str">
        <f>_xlfn.DISPIMG("ID_822D790BC6FA44789BCDF27024EDB6CA",1)</f>
        <v>=DISPIMG("ID_822D790BC6FA44789BCDF27024EDB6CA",1)</v>
      </c>
      <c r="E96" s="29" t="s">
        <v>201</v>
      </c>
      <c r="F96" s="27" t="s">
        <v>13</v>
      </c>
      <c r="G96" s="30">
        <v>13</v>
      </c>
      <c r="H96" s="31"/>
      <c r="I96" s="30">
        <f t="shared" si="1"/>
        <v>0</v>
      </c>
      <c r="J96" s="43"/>
      <c r="K96" s="44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5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  <c r="IP96" s="45"/>
      <c r="IQ96" s="45"/>
      <c r="IR96" s="45"/>
      <c r="IS96" s="45"/>
      <c r="IT96" s="45"/>
    </row>
    <row r="97" s="6" customFormat="1" ht="169" customHeight="1" spans="1:254">
      <c r="A97" s="26">
        <v>95</v>
      </c>
      <c r="B97" s="36"/>
      <c r="C97" s="37" t="s">
        <v>202</v>
      </c>
      <c r="D97" s="37" t="str">
        <f>_xlfn.DISPIMG("ID_13DA7D83F3EF4AE1936A7FC400A984D9",1)</f>
        <v>=DISPIMG("ID_13DA7D83F3EF4AE1936A7FC400A984D9",1)</v>
      </c>
      <c r="E97" s="29" t="s">
        <v>203</v>
      </c>
      <c r="F97" s="27" t="s">
        <v>13</v>
      </c>
      <c r="G97" s="30">
        <v>1</v>
      </c>
      <c r="H97" s="31"/>
      <c r="I97" s="30">
        <f t="shared" si="1"/>
        <v>0</v>
      </c>
      <c r="J97" s="43"/>
      <c r="K97" s="44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5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  <c r="IP97" s="45"/>
      <c r="IQ97" s="45"/>
      <c r="IR97" s="45"/>
      <c r="IS97" s="45"/>
      <c r="IT97" s="45"/>
    </row>
    <row r="98" s="6" customFormat="1" ht="169" customHeight="1" spans="1:254">
      <c r="A98" s="26">
        <v>96</v>
      </c>
      <c r="B98" s="36"/>
      <c r="C98" s="37" t="s">
        <v>204</v>
      </c>
      <c r="D98" s="37" t="str">
        <f>_xlfn.DISPIMG("ID_12194481BBA745F69C3BF03CE7742ED1",1)</f>
        <v>=DISPIMG("ID_12194481BBA745F69C3BF03CE7742ED1",1)</v>
      </c>
      <c r="E98" s="29" t="s">
        <v>205</v>
      </c>
      <c r="F98" s="27" t="s">
        <v>13</v>
      </c>
      <c r="G98" s="30">
        <v>1</v>
      </c>
      <c r="H98" s="31"/>
      <c r="I98" s="30">
        <f t="shared" si="1"/>
        <v>0</v>
      </c>
      <c r="J98" s="43"/>
      <c r="K98" s="44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  <c r="IP98" s="45"/>
      <c r="IQ98" s="45"/>
      <c r="IR98" s="45"/>
      <c r="IS98" s="45"/>
      <c r="IT98" s="45"/>
    </row>
    <row r="99" s="6" customFormat="1" ht="169" customHeight="1" spans="1:254">
      <c r="A99" s="26">
        <v>97</v>
      </c>
      <c r="B99" s="36"/>
      <c r="C99" s="37" t="s">
        <v>206</v>
      </c>
      <c r="D99" s="37" t="str">
        <f>_xlfn.DISPIMG("ID_91F1CA0317CB424CA1CBCC300E87A88F",1)</f>
        <v>=DISPIMG("ID_91F1CA0317CB424CA1CBCC300E87A88F",1)</v>
      </c>
      <c r="E99" s="29" t="s">
        <v>207</v>
      </c>
      <c r="F99" s="27" t="s">
        <v>13</v>
      </c>
      <c r="G99" s="30">
        <v>2</v>
      </c>
      <c r="H99" s="31"/>
      <c r="I99" s="30">
        <f t="shared" si="1"/>
        <v>0</v>
      </c>
      <c r="J99" s="43"/>
      <c r="K99" s="44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5"/>
      <c r="IQ99" s="45"/>
      <c r="IR99" s="45"/>
      <c r="IS99" s="45"/>
      <c r="IT99" s="45"/>
    </row>
    <row r="100" s="6" customFormat="1" ht="169" customHeight="1" spans="1:254">
      <c r="A100" s="26">
        <v>98</v>
      </c>
      <c r="B100" s="36"/>
      <c r="C100" s="37" t="s">
        <v>208</v>
      </c>
      <c r="D100" s="37" t="str">
        <f>_xlfn.DISPIMG("ID_057A8741170E4754BA5A68F1286F8845",1)</f>
        <v>=DISPIMG("ID_057A8741170E4754BA5A68F1286F8845",1)</v>
      </c>
      <c r="E100" s="29" t="s">
        <v>209</v>
      </c>
      <c r="F100" s="27" t="s">
        <v>13</v>
      </c>
      <c r="G100" s="30">
        <v>1</v>
      </c>
      <c r="H100" s="31"/>
      <c r="I100" s="30">
        <f t="shared" si="1"/>
        <v>0</v>
      </c>
      <c r="J100" s="43"/>
      <c r="K100" s="44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5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  <c r="IP100" s="45"/>
      <c r="IQ100" s="45"/>
      <c r="IR100" s="45"/>
      <c r="IS100" s="45"/>
      <c r="IT100" s="45"/>
    </row>
    <row r="101" s="6" customFormat="1" ht="169" customHeight="1" spans="1:254">
      <c r="A101" s="26">
        <v>99</v>
      </c>
      <c r="B101" s="36"/>
      <c r="C101" s="37" t="s">
        <v>210</v>
      </c>
      <c r="D101" s="37" t="str">
        <f>_xlfn.DISPIMG("ID_13823FB1D4AC408BA518675E3B74DD42",1)</f>
        <v>=DISPIMG("ID_13823FB1D4AC408BA518675E3B74DD42",1)</v>
      </c>
      <c r="E101" s="29" t="s">
        <v>211</v>
      </c>
      <c r="F101" s="27" t="s">
        <v>13</v>
      </c>
      <c r="G101" s="30">
        <v>1</v>
      </c>
      <c r="H101" s="31"/>
      <c r="I101" s="30">
        <f t="shared" si="1"/>
        <v>0</v>
      </c>
      <c r="J101" s="43"/>
      <c r="K101" s="44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</row>
    <row r="102" s="6" customFormat="1" ht="169" customHeight="1" spans="1:254">
      <c r="A102" s="26">
        <v>100</v>
      </c>
      <c r="B102" s="36"/>
      <c r="C102" s="37" t="s">
        <v>212</v>
      </c>
      <c r="D102" s="37" t="str">
        <f>_xlfn.DISPIMG("ID_DD19758EA9F141379B3391257B26EE5E",1)</f>
        <v>=DISPIMG("ID_DD19758EA9F141379B3391257B26EE5E",1)</v>
      </c>
      <c r="E102" s="29" t="s">
        <v>213</v>
      </c>
      <c r="F102" s="27" t="s">
        <v>13</v>
      </c>
      <c r="G102" s="30">
        <v>2</v>
      </c>
      <c r="H102" s="31"/>
      <c r="I102" s="30">
        <f t="shared" si="1"/>
        <v>0</v>
      </c>
      <c r="J102" s="43"/>
      <c r="K102" s="44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</row>
    <row r="103" s="6" customFormat="1" ht="169" customHeight="1" spans="1:254">
      <c r="A103" s="26">
        <v>101</v>
      </c>
      <c r="B103" s="36"/>
      <c r="C103" s="37" t="s">
        <v>214</v>
      </c>
      <c r="D103" s="37" t="str">
        <f>_xlfn.DISPIMG("ID_07A13D47E5854895B29329C68A7358FA",1)</f>
        <v>=DISPIMG("ID_07A13D47E5854895B29329C68A7358FA",1)</v>
      </c>
      <c r="E103" s="29" t="s">
        <v>215</v>
      </c>
      <c r="F103" s="27" t="s">
        <v>13</v>
      </c>
      <c r="G103" s="30">
        <v>1</v>
      </c>
      <c r="H103" s="31"/>
      <c r="I103" s="30">
        <f t="shared" si="1"/>
        <v>0</v>
      </c>
      <c r="J103" s="43"/>
      <c r="K103" s="44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</row>
    <row r="104" s="6" customFormat="1" ht="169" customHeight="1" spans="1:254">
      <c r="A104" s="26">
        <v>102</v>
      </c>
      <c r="B104" s="36"/>
      <c r="C104" s="37" t="s">
        <v>216</v>
      </c>
      <c r="D104" s="37" t="str">
        <f>_xlfn.DISPIMG("ID_C182E7FBE9A24B5B85F54FC2F377DD58",1)</f>
        <v>=DISPIMG("ID_C182E7FBE9A24B5B85F54FC2F377DD58",1)</v>
      </c>
      <c r="E104" s="29" t="s">
        <v>209</v>
      </c>
      <c r="F104" s="27" t="s">
        <v>13</v>
      </c>
      <c r="G104" s="30">
        <v>1</v>
      </c>
      <c r="H104" s="31"/>
      <c r="I104" s="30">
        <f t="shared" si="1"/>
        <v>0</v>
      </c>
      <c r="J104" s="43"/>
      <c r="K104" s="44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</row>
    <row r="105" s="6" customFormat="1" ht="169" customHeight="1" spans="1:254">
      <c r="A105" s="26">
        <v>103</v>
      </c>
      <c r="B105" s="36"/>
      <c r="C105" s="37" t="s">
        <v>217</v>
      </c>
      <c r="D105" s="37" t="str">
        <f>_xlfn.DISPIMG("ID_B94AD62415E64EAFBC78A6E5D1844FA0",1)</f>
        <v>=DISPIMG("ID_B94AD62415E64EAFBC78A6E5D1844FA0",1)</v>
      </c>
      <c r="E105" s="29" t="s">
        <v>218</v>
      </c>
      <c r="F105" s="27" t="s">
        <v>13</v>
      </c>
      <c r="G105" s="30">
        <v>1</v>
      </c>
      <c r="H105" s="31"/>
      <c r="I105" s="30">
        <f t="shared" si="1"/>
        <v>0</v>
      </c>
      <c r="J105" s="43"/>
      <c r="K105" s="44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</row>
    <row r="106" s="6" customFormat="1" ht="169" customHeight="1" spans="1:254">
      <c r="A106" s="26">
        <v>104</v>
      </c>
      <c r="B106" s="36"/>
      <c r="C106" s="37" t="s">
        <v>219</v>
      </c>
      <c r="D106" s="37" t="str">
        <f>_xlfn.DISPIMG("ID_24CCE351A0E1456EABE5541C7C254450",1)</f>
        <v>=DISPIMG("ID_24CCE351A0E1456EABE5541C7C254450",1)</v>
      </c>
      <c r="E106" s="29" t="s">
        <v>220</v>
      </c>
      <c r="F106" s="27" t="s">
        <v>13</v>
      </c>
      <c r="G106" s="30">
        <v>1</v>
      </c>
      <c r="H106" s="31"/>
      <c r="I106" s="30">
        <f t="shared" si="1"/>
        <v>0</v>
      </c>
      <c r="J106" s="43"/>
      <c r="K106" s="44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</row>
    <row r="107" s="6" customFormat="1" ht="169" customHeight="1" spans="1:254">
      <c r="A107" s="26">
        <v>105</v>
      </c>
      <c r="B107" s="36"/>
      <c r="C107" s="37" t="s">
        <v>221</v>
      </c>
      <c r="D107" s="37" t="str">
        <f>_xlfn.DISPIMG("ID_3F513B39C40E472DA6B8EC59527F2015",1)</f>
        <v>=DISPIMG("ID_3F513B39C40E472DA6B8EC59527F2015",1)</v>
      </c>
      <c r="E107" s="29" t="s">
        <v>222</v>
      </c>
      <c r="F107" s="27" t="s">
        <v>13</v>
      </c>
      <c r="G107" s="30">
        <v>2</v>
      </c>
      <c r="H107" s="31"/>
      <c r="I107" s="30">
        <f t="shared" si="1"/>
        <v>0</v>
      </c>
      <c r="J107" s="43"/>
      <c r="K107" s="44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</row>
    <row r="108" s="6" customFormat="1" ht="137" customHeight="1" spans="1:254">
      <c r="A108" s="26">
        <v>106</v>
      </c>
      <c r="B108" s="36"/>
      <c r="C108" s="37" t="s">
        <v>223</v>
      </c>
      <c r="D108" s="37" t="str">
        <f>_xlfn.DISPIMG("ID_7A1B6ED0B4A74E048F6F6A18B49D9175",1)</f>
        <v>=DISPIMG("ID_7A1B6ED0B4A74E048F6F6A18B49D9175",1)</v>
      </c>
      <c r="E108" s="29" t="s">
        <v>224</v>
      </c>
      <c r="F108" s="27" t="s">
        <v>13</v>
      </c>
      <c r="G108" s="30">
        <v>1</v>
      </c>
      <c r="H108" s="31"/>
      <c r="I108" s="30">
        <f t="shared" si="1"/>
        <v>0</v>
      </c>
      <c r="J108" s="43"/>
      <c r="K108" s="44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5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</row>
    <row r="109" s="6" customFormat="1" ht="137" customHeight="1" spans="1:254">
      <c r="A109" s="26">
        <v>107</v>
      </c>
      <c r="B109" s="36"/>
      <c r="C109" s="37" t="s">
        <v>225</v>
      </c>
      <c r="D109" s="37" t="str">
        <f>_xlfn.DISPIMG("ID_7D479F1EE4ED4242AF65CDB9179CF30B",1)</f>
        <v>=DISPIMG("ID_7D479F1EE4ED4242AF65CDB9179CF30B",1)</v>
      </c>
      <c r="E109" s="29" t="s">
        <v>226</v>
      </c>
      <c r="F109" s="27" t="s">
        <v>13</v>
      </c>
      <c r="G109" s="30">
        <v>14</v>
      </c>
      <c r="H109" s="31"/>
      <c r="I109" s="30">
        <f t="shared" si="1"/>
        <v>0</v>
      </c>
      <c r="J109" s="43"/>
      <c r="K109" s="44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5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  <c r="IG109" s="45"/>
      <c r="IH109" s="45"/>
      <c r="II109" s="45"/>
      <c r="IJ109" s="45"/>
      <c r="IK109" s="45"/>
      <c r="IL109" s="45"/>
      <c r="IM109" s="45"/>
      <c r="IN109" s="45"/>
      <c r="IO109" s="45"/>
      <c r="IP109" s="45"/>
      <c r="IQ109" s="45"/>
      <c r="IR109" s="45"/>
      <c r="IS109" s="45"/>
      <c r="IT109" s="45"/>
    </row>
    <row r="110" s="6" customFormat="1" ht="137" customHeight="1" spans="1:254">
      <c r="A110" s="26">
        <v>108</v>
      </c>
      <c r="B110" s="36"/>
      <c r="C110" s="37" t="s">
        <v>227</v>
      </c>
      <c r="D110" s="37" t="str">
        <f>_xlfn.DISPIMG("ID_A32634A395E241599C04F179C29870A6",1)</f>
        <v>=DISPIMG("ID_A32634A395E241599C04F179C29870A6",1)</v>
      </c>
      <c r="E110" s="29" t="s">
        <v>228</v>
      </c>
      <c r="F110" s="27" t="s">
        <v>13</v>
      </c>
      <c r="G110" s="30">
        <v>2</v>
      </c>
      <c r="H110" s="31"/>
      <c r="I110" s="30">
        <f t="shared" si="1"/>
        <v>0</v>
      </c>
      <c r="J110" s="43"/>
      <c r="K110" s="44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  <c r="IG110" s="45"/>
      <c r="IH110" s="45"/>
      <c r="II110" s="45"/>
      <c r="IJ110" s="45"/>
      <c r="IK110" s="45"/>
      <c r="IL110" s="45"/>
      <c r="IM110" s="45"/>
      <c r="IN110" s="45"/>
      <c r="IO110" s="45"/>
      <c r="IP110" s="45"/>
      <c r="IQ110" s="45"/>
      <c r="IR110" s="45"/>
      <c r="IS110" s="45"/>
      <c r="IT110" s="45"/>
    </row>
    <row r="111" s="6" customFormat="1" ht="126" customHeight="1" spans="1:254">
      <c r="A111" s="26">
        <v>109</v>
      </c>
      <c r="B111" s="36"/>
      <c r="C111" s="37" t="s">
        <v>229</v>
      </c>
      <c r="D111" s="37" t="str">
        <f>_xlfn.DISPIMG("ID_14370B8B4ADA45D2B9999F0B5EA85808",1)</f>
        <v>=DISPIMG("ID_14370B8B4ADA45D2B9999F0B5EA85808",1)</v>
      </c>
      <c r="E111" s="29" t="s">
        <v>230</v>
      </c>
      <c r="F111" s="27" t="s">
        <v>13</v>
      </c>
      <c r="G111" s="30">
        <v>1</v>
      </c>
      <c r="H111" s="31"/>
      <c r="I111" s="30">
        <f t="shared" si="1"/>
        <v>0</v>
      </c>
      <c r="J111" s="43"/>
      <c r="K111" s="44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45"/>
      <c r="FN111" s="45"/>
      <c r="FO111" s="45"/>
      <c r="FP111" s="45"/>
      <c r="FQ111" s="45"/>
      <c r="FR111" s="45"/>
      <c r="FS111" s="45"/>
      <c r="FT111" s="45"/>
      <c r="FU111" s="45"/>
      <c r="FV111" s="45"/>
      <c r="FW111" s="45"/>
      <c r="FX111" s="45"/>
      <c r="FY111" s="45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5"/>
      <c r="GU111" s="45"/>
      <c r="GV111" s="45"/>
      <c r="GW111" s="45"/>
      <c r="GX111" s="45"/>
      <c r="GY111" s="45"/>
      <c r="GZ111" s="45"/>
      <c r="HA111" s="45"/>
      <c r="HB111" s="45"/>
      <c r="HC111" s="45"/>
      <c r="HD111" s="45"/>
      <c r="HE111" s="45"/>
      <c r="HF111" s="45"/>
      <c r="HG111" s="45"/>
      <c r="HH111" s="45"/>
      <c r="HI111" s="45"/>
      <c r="HJ111" s="45"/>
      <c r="HK111" s="45"/>
      <c r="HL111" s="45"/>
      <c r="HM111" s="45"/>
      <c r="HN111" s="45"/>
      <c r="HO111" s="45"/>
      <c r="HP111" s="45"/>
      <c r="HQ111" s="45"/>
      <c r="HR111" s="45"/>
      <c r="HS111" s="45"/>
      <c r="HT111" s="45"/>
      <c r="HU111" s="45"/>
      <c r="HV111" s="45"/>
      <c r="HW111" s="45"/>
      <c r="HX111" s="45"/>
      <c r="HY111" s="45"/>
      <c r="HZ111" s="45"/>
      <c r="IA111" s="45"/>
      <c r="IB111" s="45"/>
      <c r="IC111" s="45"/>
      <c r="ID111" s="45"/>
      <c r="IE111" s="45"/>
      <c r="IF111" s="45"/>
      <c r="IG111" s="45"/>
      <c r="IH111" s="45"/>
      <c r="II111" s="45"/>
      <c r="IJ111" s="45"/>
      <c r="IK111" s="45"/>
      <c r="IL111" s="45"/>
      <c r="IM111" s="45"/>
      <c r="IN111" s="45"/>
      <c r="IO111" s="45"/>
      <c r="IP111" s="45"/>
      <c r="IQ111" s="45"/>
      <c r="IR111" s="45"/>
      <c r="IS111" s="45"/>
      <c r="IT111" s="45"/>
    </row>
    <row r="112" s="6" customFormat="1" ht="126" customHeight="1" spans="1:254">
      <c r="A112" s="26">
        <v>110</v>
      </c>
      <c r="B112" s="36"/>
      <c r="C112" s="37" t="s">
        <v>231</v>
      </c>
      <c r="D112" s="37" t="str">
        <f>_xlfn.DISPIMG("ID_1D41B73B56AA4531BF29CA8F696BA6EF",1)</f>
        <v>=DISPIMG("ID_1D41B73B56AA4531BF29CA8F696BA6EF",1)</v>
      </c>
      <c r="E112" s="29" t="s">
        <v>232</v>
      </c>
      <c r="F112" s="27" t="s">
        <v>13</v>
      </c>
      <c r="G112" s="30">
        <v>2</v>
      </c>
      <c r="H112" s="31"/>
      <c r="I112" s="30">
        <f t="shared" si="1"/>
        <v>0</v>
      </c>
      <c r="J112" s="43"/>
      <c r="K112" s="44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45"/>
      <c r="FN112" s="45"/>
      <c r="FO112" s="45"/>
      <c r="FP112" s="45"/>
      <c r="FQ112" s="45"/>
      <c r="FR112" s="45"/>
      <c r="FS112" s="45"/>
      <c r="FT112" s="45"/>
      <c r="FU112" s="45"/>
      <c r="FV112" s="45"/>
      <c r="FW112" s="45"/>
      <c r="FX112" s="45"/>
      <c r="FY112" s="45"/>
      <c r="FZ112" s="45"/>
      <c r="GA112" s="45"/>
      <c r="GB112" s="45"/>
      <c r="GC112" s="45"/>
      <c r="GD112" s="45"/>
      <c r="GE112" s="45"/>
      <c r="GF112" s="45"/>
      <c r="GG112" s="45"/>
      <c r="GH112" s="45"/>
      <c r="GI112" s="45"/>
      <c r="GJ112" s="45"/>
      <c r="GK112" s="45"/>
      <c r="GL112" s="45"/>
      <c r="GM112" s="45"/>
      <c r="GN112" s="45"/>
      <c r="GO112" s="45"/>
      <c r="GP112" s="45"/>
      <c r="GQ112" s="45"/>
      <c r="GR112" s="45"/>
      <c r="GS112" s="45"/>
      <c r="GT112" s="45"/>
      <c r="GU112" s="45"/>
      <c r="GV112" s="45"/>
      <c r="GW112" s="45"/>
      <c r="GX112" s="45"/>
      <c r="GY112" s="45"/>
      <c r="GZ112" s="45"/>
      <c r="HA112" s="45"/>
      <c r="HB112" s="45"/>
      <c r="HC112" s="45"/>
      <c r="HD112" s="45"/>
      <c r="HE112" s="45"/>
      <c r="HF112" s="45"/>
      <c r="HG112" s="45"/>
      <c r="HH112" s="45"/>
      <c r="HI112" s="45"/>
      <c r="HJ112" s="45"/>
      <c r="HK112" s="45"/>
      <c r="HL112" s="45"/>
      <c r="HM112" s="45"/>
      <c r="HN112" s="45"/>
      <c r="HO112" s="45"/>
      <c r="HP112" s="45"/>
      <c r="HQ112" s="45"/>
      <c r="HR112" s="45"/>
      <c r="HS112" s="45"/>
      <c r="HT112" s="45"/>
      <c r="HU112" s="45"/>
      <c r="HV112" s="45"/>
      <c r="HW112" s="45"/>
      <c r="HX112" s="45"/>
      <c r="HY112" s="45"/>
      <c r="HZ112" s="45"/>
      <c r="IA112" s="45"/>
      <c r="IB112" s="45"/>
      <c r="IC112" s="45"/>
      <c r="ID112" s="45"/>
      <c r="IE112" s="45"/>
      <c r="IF112" s="45"/>
      <c r="IG112" s="45"/>
      <c r="IH112" s="45"/>
      <c r="II112" s="45"/>
      <c r="IJ112" s="45"/>
      <c r="IK112" s="45"/>
      <c r="IL112" s="45"/>
      <c r="IM112" s="45"/>
      <c r="IN112" s="45"/>
      <c r="IO112" s="45"/>
      <c r="IP112" s="45"/>
      <c r="IQ112" s="45"/>
      <c r="IR112" s="45"/>
      <c r="IS112" s="45"/>
      <c r="IT112" s="45"/>
    </row>
    <row r="113" s="6" customFormat="1" ht="126" customHeight="1" spans="1:254">
      <c r="A113" s="26">
        <v>111</v>
      </c>
      <c r="B113" s="36"/>
      <c r="C113" s="37" t="s">
        <v>233</v>
      </c>
      <c r="D113" s="37" t="str">
        <f>_xlfn.DISPIMG("ID_D9D3B5D9F3974922817379C22E9B9695",1)</f>
        <v>=DISPIMG("ID_D9D3B5D9F3974922817379C22E9B9695",1)</v>
      </c>
      <c r="E113" s="29" t="s">
        <v>228</v>
      </c>
      <c r="F113" s="27" t="s">
        <v>13</v>
      </c>
      <c r="G113" s="30">
        <v>2</v>
      </c>
      <c r="H113" s="31"/>
      <c r="I113" s="30">
        <f t="shared" si="1"/>
        <v>0</v>
      </c>
      <c r="J113" s="43"/>
      <c r="K113" s="44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5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</row>
    <row r="114" s="6" customFormat="1" ht="128" customHeight="1" spans="1:254">
      <c r="A114" s="26">
        <v>112</v>
      </c>
      <c r="B114" s="36"/>
      <c r="C114" s="37" t="s">
        <v>234</v>
      </c>
      <c r="D114" s="37" t="str">
        <f>_xlfn.DISPIMG("ID_625AA6EB11434EC897CCF2080D294FAB",1)</f>
        <v>=DISPIMG("ID_625AA6EB11434EC897CCF2080D294FAB",1)</v>
      </c>
      <c r="E114" s="29" t="s">
        <v>235</v>
      </c>
      <c r="F114" s="27" t="s">
        <v>13</v>
      </c>
      <c r="G114" s="30">
        <v>14</v>
      </c>
      <c r="H114" s="31"/>
      <c r="I114" s="30">
        <f t="shared" si="1"/>
        <v>0</v>
      </c>
      <c r="J114" s="43"/>
      <c r="K114" s="44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5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</row>
    <row r="115" s="6" customFormat="1" ht="108" customHeight="1" spans="1:254">
      <c r="A115" s="26">
        <v>113</v>
      </c>
      <c r="B115" s="36"/>
      <c r="C115" s="37" t="s">
        <v>236</v>
      </c>
      <c r="D115" s="37" t="str">
        <f>_xlfn.DISPIMG("ID_4532D52A061C4835A3949BFB0A3412BA",1)</f>
        <v>=DISPIMG("ID_4532D52A061C4835A3949BFB0A3412BA",1)</v>
      </c>
      <c r="E115" s="29" t="s">
        <v>237</v>
      </c>
      <c r="F115" s="27" t="s">
        <v>13</v>
      </c>
      <c r="G115" s="30">
        <v>14</v>
      </c>
      <c r="H115" s="31"/>
      <c r="I115" s="30">
        <f t="shared" si="1"/>
        <v>0</v>
      </c>
      <c r="J115" s="43"/>
      <c r="K115" s="44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</row>
    <row r="116" s="6" customFormat="1" ht="137" customHeight="1" spans="1:254">
      <c r="A116" s="26">
        <v>114</v>
      </c>
      <c r="B116" s="36"/>
      <c r="C116" s="37" t="s">
        <v>238</v>
      </c>
      <c r="D116" s="37" t="str">
        <f>_xlfn.DISPIMG("ID_432DA8E8E47A4CABACDBC79669D64AD9",1)</f>
        <v>=DISPIMG("ID_432DA8E8E47A4CABACDBC79669D64AD9",1)</v>
      </c>
      <c r="E116" s="29" t="s">
        <v>239</v>
      </c>
      <c r="F116" s="27" t="s">
        <v>13</v>
      </c>
      <c r="G116" s="30">
        <v>13</v>
      </c>
      <c r="H116" s="31"/>
      <c r="I116" s="30">
        <f t="shared" si="1"/>
        <v>0</v>
      </c>
      <c r="J116" s="43"/>
      <c r="K116" s="44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</row>
    <row r="117" s="6" customFormat="1" ht="137" customHeight="1" spans="1:254">
      <c r="A117" s="26">
        <v>115</v>
      </c>
      <c r="B117" s="36"/>
      <c r="C117" s="37" t="s">
        <v>240</v>
      </c>
      <c r="D117" s="37" t="str">
        <f>_xlfn.DISPIMG("ID_59F4A1D826574A4AB884A7E8577EE890",1)</f>
        <v>=DISPIMG("ID_59F4A1D826574A4AB884A7E8577EE890",1)</v>
      </c>
      <c r="E117" s="29" t="s">
        <v>241</v>
      </c>
      <c r="F117" s="27" t="s">
        <v>13</v>
      </c>
      <c r="G117" s="30">
        <v>1</v>
      </c>
      <c r="H117" s="31"/>
      <c r="I117" s="30">
        <f t="shared" si="1"/>
        <v>0</v>
      </c>
      <c r="J117" s="43"/>
      <c r="K117" s="44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</row>
    <row r="118" s="6" customFormat="1" ht="137" customHeight="1" spans="1:254">
      <c r="A118" s="26">
        <v>116</v>
      </c>
      <c r="B118" s="36"/>
      <c r="C118" s="37" t="s">
        <v>242</v>
      </c>
      <c r="D118" s="37" t="str">
        <f>_xlfn.DISPIMG("ID_30BD338538BB4C9E9B1B2A03DE2F58FF",1)</f>
        <v>=DISPIMG("ID_30BD338538BB4C9E9B1B2A03DE2F58FF",1)</v>
      </c>
      <c r="E118" s="29" t="s">
        <v>243</v>
      </c>
      <c r="F118" s="27" t="s">
        <v>13</v>
      </c>
      <c r="G118" s="30">
        <v>2</v>
      </c>
      <c r="H118" s="31"/>
      <c r="I118" s="30">
        <f t="shared" si="1"/>
        <v>0</v>
      </c>
      <c r="J118" s="43"/>
      <c r="K118" s="44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</row>
    <row r="119" s="6" customFormat="1" ht="129" customHeight="1" spans="1:254">
      <c r="A119" s="26">
        <v>117</v>
      </c>
      <c r="B119" s="36"/>
      <c r="C119" s="37" t="s">
        <v>244</v>
      </c>
      <c r="D119" s="37" t="str">
        <f>_xlfn.DISPIMG("ID_EB68EFE7D1514DB9BD51B21B753E07C8",1)</f>
        <v>=DISPIMG("ID_EB68EFE7D1514DB9BD51B21B753E07C8",1)</v>
      </c>
      <c r="E119" s="29" t="s">
        <v>245</v>
      </c>
      <c r="F119" s="27" t="s">
        <v>13</v>
      </c>
      <c r="G119" s="30">
        <v>6</v>
      </c>
      <c r="H119" s="31"/>
      <c r="I119" s="30">
        <f t="shared" si="1"/>
        <v>0</v>
      </c>
      <c r="J119" s="43"/>
      <c r="K119" s="44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5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</row>
    <row r="120" s="6" customFormat="1" ht="129" customHeight="1" spans="1:254">
      <c r="A120" s="26">
        <v>118</v>
      </c>
      <c r="B120" s="36"/>
      <c r="C120" s="37" t="s">
        <v>246</v>
      </c>
      <c r="D120" s="37" t="str">
        <f>_xlfn.DISPIMG("ID_524AB87175E44D8C8709F7F60647BA1F",1)</f>
        <v>=DISPIMG("ID_524AB87175E44D8C8709F7F60647BA1F",1)</v>
      </c>
      <c r="E120" s="29" t="s">
        <v>247</v>
      </c>
      <c r="F120" s="27" t="s">
        <v>13</v>
      </c>
      <c r="G120" s="30">
        <v>18</v>
      </c>
      <c r="H120" s="31"/>
      <c r="I120" s="30">
        <f t="shared" si="1"/>
        <v>0</v>
      </c>
      <c r="J120" s="43"/>
      <c r="K120" s="44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5"/>
      <c r="GU120" s="45"/>
      <c r="GV120" s="45"/>
      <c r="GW120" s="45"/>
      <c r="GX120" s="45"/>
      <c r="GY120" s="45"/>
      <c r="GZ120" s="45"/>
      <c r="HA120" s="45"/>
      <c r="HB120" s="45"/>
      <c r="HC120" s="45"/>
      <c r="HD120" s="45"/>
      <c r="HE120" s="45"/>
      <c r="HF120" s="45"/>
      <c r="HG120" s="45"/>
      <c r="HH120" s="45"/>
      <c r="HI120" s="45"/>
      <c r="HJ120" s="45"/>
      <c r="HK120" s="45"/>
      <c r="HL120" s="45"/>
      <c r="HM120" s="45"/>
      <c r="HN120" s="45"/>
      <c r="HO120" s="45"/>
      <c r="HP120" s="45"/>
      <c r="HQ120" s="45"/>
      <c r="HR120" s="45"/>
      <c r="HS120" s="45"/>
      <c r="HT120" s="45"/>
      <c r="HU120" s="45"/>
      <c r="HV120" s="45"/>
      <c r="HW120" s="45"/>
      <c r="HX120" s="45"/>
      <c r="HY120" s="45"/>
      <c r="HZ120" s="45"/>
      <c r="IA120" s="45"/>
      <c r="IB120" s="45"/>
      <c r="IC120" s="45"/>
      <c r="ID120" s="45"/>
      <c r="IE120" s="45"/>
      <c r="IF120" s="45"/>
      <c r="IG120" s="45"/>
      <c r="IH120" s="45"/>
      <c r="II120" s="45"/>
      <c r="IJ120" s="45"/>
      <c r="IK120" s="45"/>
      <c r="IL120" s="45"/>
      <c r="IM120" s="45"/>
      <c r="IN120" s="45"/>
      <c r="IO120" s="45"/>
      <c r="IP120" s="45"/>
      <c r="IQ120" s="45"/>
      <c r="IR120" s="45"/>
      <c r="IS120" s="45"/>
      <c r="IT120" s="45"/>
    </row>
    <row r="121" s="6" customFormat="1" ht="139" customHeight="1" spans="1:254">
      <c r="A121" s="26">
        <v>119</v>
      </c>
      <c r="B121" s="36"/>
      <c r="C121" s="37" t="s">
        <v>248</v>
      </c>
      <c r="D121" s="37" t="str">
        <f>_xlfn.DISPIMG("ID_D86704BC2123467F8680CDCE74F8B5D5",1)</f>
        <v>=DISPIMG("ID_D86704BC2123467F8680CDCE74F8B5D5",1)</v>
      </c>
      <c r="E121" s="29" t="s">
        <v>249</v>
      </c>
      <c r="F121" s="27" t="s">
        <v>13</v>
      </c>
      <c r="G121" s="30">
        <v>13</v>
      </c>
      <c r="H121" s="31"/>
      <c r="I121" s="30">
        <f t="shared" si="1"/>
        <v>0</v>
      </c>
      <c r="J121" s="43"/>
      <c r="K121" s="44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5"/>
      <c r="GU121" s="45"/>
      <c r="GV121" s="45"/>
      <c r="GW121" s="45"/>
      <c r="GX121" s="45"/>
      <c r="GY121" s="45"/>
      <c r="GZ121" s="45"/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</row>
    <row r="122" s="6" customFormat="1" ht="139" customHeight="1" spans="1:254">
      <c r="A122" s="26">
        <v>120</v>
      </c>
      <c r="B122" s="36"/>
      <c r="C122" s="37" t="s">
        <v>250</v>
      </c>
      <c r="D122" s="37" t="str">
        <f>_xlfn.DISPIMG("ID_A355CA24C7D84C2F82F4A1B488B6763F",1)</f>
        <v>=DISPIMG("ID_A355CA24C7D84C2F82F4A1B488B6763F",1)</v>
      </c>
      <c r="E122" s="29" t="s">
        <v>251</v>
      </c>
      <c r="F122" s="27" t="s">
        <v>13</v>
      </c>
      <c r="G122" s="30">
        <v>2</v>
      </c>
      <c r="H122" s="31"/>
      <c r="I122" s="30">
        <f t="shared" si="1"/>
        <v>0</v>
      </c>
      <c r="J122" s="43"/>
      <c r="K122" s="44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5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</row>
    <row r="123" s="6" customFormat="1" ht="119" customHeight="1" spans="1:254">
      <c r="A123" s="26">
        <v>121</v>
      </c>
      <c r="B123" s="36"/>
      <c r="C123" s="37" t="s">
        <v>252</v>
      </c>
      <c r="D123" s="37" t="str">
        <f>_xlfn.DISPIMG("ID_D518F3A1B08C4329BC7C8CC7BA7C68FC",1)</f>
        <v>=DISPIMG("ID_D518F3A1B08C4329BC7C8CC7BA7C68FC",1)</v>
      </c>
      <c r="E123" s="29" t="s">
        <v>253</v>
      </c>
      <c r="F123" s="27" t="s">
        <v>13</v>
      </c>
      <c r="G123" s="30">
        <v>3</v>
      </c>
      <c r="H123" s="31"/>
      <c r="I123" s="30">
        <f t="shared" si="1"/>
        <v>0</v>
      </c>
      <c r="J123" s="43"/>
      <c r="K123" s="44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  <c r="FV123" s="45"/>
      <c r="FW123" s="45"/>
      <c r="FX123" s="45"/>
      <c r="FY123" s="45"/>
      <c r="FZ123" s="45"/>
      <c r="GA123" s="45"/>
      <c r="GB123" s="45"/>
      <c r="GC123" s="45"/>
      <c r="GD123" s="45"/>
      <c r="GE123" s="45"/>
      <c r="GF123" s="45"/>
      <c r="GG123" s="45"/>
      <c r="GH123" s="45"/>
      <c r="GI123" s="45"/>
      <c r="GJ123" s="45"/>
      <c r="GK123" s="45"/>
      <c r="GL123" s="45"/>
      <c r="GM123" s="45"/>
      <c r="GN123" s="45"/>
      <c r="GO123" s="45"/>
      <c r="GP123" s="45"/>
      <c r="GQ123" s="45"/>
      <c r="GR123" s="45"/>
      <c r="GS123" s="45"/>
      <c r="GT123" s="45"/>
      <c r="GU123" s="45"/>
      <c r="GV123" s="45"/>
      <c r="GW123" s="45"/>
      <c r="GX123" s="45"/>
      <c r="GY123" s="45"/>
      <c r="GZ123" s="45"/>
      <c r="HA123" s="45"/>
      <c r="HB123" s="45"/>
      <c r="HC123" s="45"/>
      <c r="HD123" s="45"/>
      <c r="HE123" s="45"/>
      <c r="HF123" s="45"/>
      <c r="HG123" s="45"/>
      <c r="HH123" s="45"/>
      <c r="HI123" s="45"/>
      <c r="HJ123" s="45"/>
      <c r="HK123" s="45"/>
      <c r="HL123" s="45"/>
      <c r="HM123" s="45"/>
      <c r="HN123" s="45"/>
      <c r="HO123" s="45"/>
      <c r="HP123" s="45"/>
      <c r="HQ123" s="45"/>
      <c r="HR123" s="45"/>
      <c r="HS123" s="45"/>
      <c r="HT123" s="45"/>
      <c r="HU123" s="45"/>
      <c r="HV123" s="45"/>
      <c r="HW123" s="45"/>
      <c r="HX123" s="45"/>
      <c r="HY123" s="45"/>
      <c r="HZ123" s="45"/>
      <c r="IA123" s="45"/>
      <c r="IB123" s="45"/>
      <c r="IC123" s="45"/>
      <c r="ID123" s="45"/>
      <c r="IE123" s="45"/>
      <c r="IF123" s="45"/>
      <c r="IG123" s="45"/>
      <c r="IH123" s="45"/>
      <c r="II123" s="45"/>
      <c r="IJ123" s="45"/>
      <c r="IK123" s="45"/>
      <c r="IL123" s="45"/>
      <c r="IM123" s="45"/>
      <c r="IN123" s="45"/>
      <c r="IO123" s="45"/>
      <c r="IP123" s="45"/>
      <c r="IQ123" s="45"/>
      <c r="IR123" s="45"/>
      <c r="IS123" s="45"/>
      <c r="IT123" s="45"/>
    </row>
    <row r="124" s="6" customFormat="1" ht="78" customHeight="1" spans="1:254">
      <c r="A124" s="26">
        <v>122</v>
      </c>
      <c r="B124" s="36"/>
      <c r="C124" s="37" t="s">
        <v>254</v>
      </c>
      <c r="D124" s="37" t="str">
        <f>_xlfn.DISPIMG("ID_96356B27CA134E1B9E453A43B76722AF",1)</f>
        <v>=DISPIMG("ID_96356B27CA134E1B9E453A43B76722AF",1)</v>
      </c>
      <c r="E124" s="29" t="s">
        <v>255</v>
      </c>
      <c r="F124" s="27" t="s">
        <v>13</v>
      </c>
      <c r="G124" s="30">
        <v>17</v>
      </c>
      <c r="H124" s="31"/>
      <c r="I124" s="30">
        <f t="shared" si="1"/>
        <v>0</v>
      </c>
      <c r="J124" s="43"/>
      <c r="K124" s="44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</row>
    <row r="125" s="6" customFormat="1" ht="128" customHeight="1" spans="1:254">
      <c r="A125" s="26">
        <v>123</v>
      </c>
      <c r="B125" s="36"/>
      <c r="C125" s="37" t="s">
        <v>256</v>
      </c>
      <c r="D125" s="37" t="str">
        <f>_xlfn.DISPIMG("ID_210C95660EAF41FAB0ED3BCA263529B2",1)</f>
        <v>=DISPIMG("ID_210C95660EAF41FAB0ED3BCA263529B2",1)</v>
      </c>
      <c r="E125" s="29" t="s">
        <v>257</v>
      </c>
      <c r="F125" s="27" t="s">
        <v>13</v>
      </c>
      <c r="G125" s="30">
        <v>5</v>
      </c>
      <c r="H125" s="31"/>
      <c r="I125" s="30">
        <f t="shared" si="1"/>
        <v>0</v>
      </c>
      <c r="J125" s="43"/>
      <c r="K125" s="44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  <c r="GH125" s="45"/>
      <c r="GI125" s="45"/>
      <c r="GJ125" s="45"/>
      <c r="GK125" s="45"/>
      <c r="GL125" s="45"/>
      <c r="GM125" s="45"/>
      <c r="GN125" s="45"/>
      <c r="GO125" s="45"/>
      <c r="GP125" s="45"/>
      <c r="GQ125" s="45"/>
      <c r="GR125" s="45"/>
      <c r="GS125" s="45"/>
      <c r="GT125" s="45"/>
      <c r="GU125" s="45"/>
      <c r="GV125" s="45"/>
      <c r="GW125" s="45"/>
      <c r="GX125" s="45"/>
      <c r="GY125" s="45"/>
      <c r="GZ125" s="45"/>
      <c r="HA125" s="45"/>
      <c r="HB125" s="45"/>
      <c r="HC125" s="45"/>
      <c r="HD125" s="45"/>
      <c r="HE125" s="45"/>
      <c r="HF125" s="45"/>
      <c r="HG125" s="45"/>
      <c r="HH125" s="45"/>
      <c r="HI125" s="45"/>
      <c r="HJ125" s="45"/>
      <c r="HK125" s="45"/>
      <c r="HL125" s="45"/>
      <c r="HM125" s="45"/>
      <c r="HN125" s="45"/>
      <c r="HO125" s="45"/>
      <c r="HP125" s="45"/>
      <c r="HQ125" s="45"/>
      <c r="HR125" s="45"/>
      <c r="HS125" s="45"/>
      <c r="HT125" s="45"/>
      <c r="HU125" s="45"/>
      <c r="HV125" s="45"/>
      <c r="HW125" s="45"/>
      <c r="HX125" s="45"/>
      <c r="HY125" s="45"/>
      <c r="HZ125" s="45"/>
      <c r="IA125" s="45"/>
      <c r="IB125" s="45"/>
      <c r="IC125" s="45"/>
      <c r="ID125" s="45"/>
      <c r="IE125" s="45"/>
      <c r="IF125" s="45"/>
      <c r="IG125" s="45"/>
      <c r="IH125" s="45"/>
      <c r="II125" s="45"/>
      <c r="IJ125" s="45"/>
      <c r="IK125" s="45"/>
      <c r="IL125" s="45"/>
      <c r="IM125" s="45"/>
      <c r="IN125" s="45"/>
      <c r="IO125" s="45"/>
      <c r="IP125" s="45"/>
      <c r="IQ125" s="45"/>
      <c r="IR125" s="45"/>
      <c r="IS125" s="45"/>
      <c r="IT125" s="45"/>
    </row>
    <row r="126" s="6" customFormat="1" ht="84" customHeight="1" spans="1:254">
      <c r="A126" s="26">
        <v>124</v>
      </c>
      <c r="B126" s="36"/>
      <c r="C126" s="37" t="s">
        <v>258</v>
      </c>
      <c r="D126" s="37" t="str">
        <f>_xlfn.DISPIMG("ID_B9AF6A6395644A19B97AEE9A966C2E1A",1)</f>
        <v>=DISPIMG("ID_B9AF6A6395644A19B97AEE9A966C2E1A",1)</v>
      </c>
      <c r="E126" s="29" t="s">
        <v>259</v>
      </c>
      <c r="F126" s="27" t="s">
        <v>16</v>
      </c>
      <c r="G126" s="30">
        <v>38</v>
      </c>
      <c r="H126" s="31"/>
      <c r="I126" s="30">
        <f t="shared" si="1"/>
        <v>0</v>
      </c>
      <c r="J126" s="43"/>
      <c r="K126" s="44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</row>
    <row r="127" s="6" customFormat="1" ht="117" customHeight="1" spans="1:254">
      <c r="A127" s="26">
        <v>125</v>
      </c>
      <c r="B127" s="36"/>
      <c r="C127" s="37" t="s">
        <v>260</v>
      </c>
      <c r="D127" s="37" t="str">
        <f>_xlfn.DISPIMG("ID_52B73892178A49399FD5549CCB171D47",1)</f>
        <v>=DISPIMG("ID_52B73892178A49399FD5549CCB171D47",1)</v>
      </c>
      <c r="E127" s="29" t="s">
        <v>261</v>
      </c>
      <c r="F127" s="27" t="s">
        <v>262</v>
      </c>
      <c r="G127" s="30">
        <v>6</v>
      </c>
      <c r="H127" s="31"/>
      <c r="I127" s="30">
        <f t="shared" si="1"/>
        <v>0</v>
      </c>
      <c r="J127" s="43"/>
      <c r="K127" s="44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  <c r="FV127" s="45"/>
      <c r="FW127" s="45"/>
      <c r="FX127" s="45"/>
      <c r="FY127" s="45"/>
      <c r="FZ127" s="45"/>
      <c r="GA127" s="45"/>
      <c r="GB127" s="45"/>
      <c r="GC127" s="45"/>
      <c r="GD127" s="45"/>
      <c r="GE127" s="45"/>
      <c r="GF127" s="45"/>
      <c r="GG127" s="45"/>
      <c r="GH127" s="45"/>
      <c r="GI127" s="45"/>
      <c r="GJ127" s="45"/>
      <c r="GK127" s="45"/>
      <c r="GL127" s="45"/>
      <c r="GM127" s="45"/>
      <c r="GN127" s="45"/>
      <c r="GO127" s="45"/>
      <c r="GP127" s="45"/>
      <c r="GQ127" s="45"/>
      <c r="GR127" s="45"/>
      <c r="GS127" s="45"/>
      <c r="GT127" s="45"/>
      <c r="GU127" s="45"/>
      <c r="GV127" s="45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HY127" s="45"/>
      <c r="HZ127" s="45"/>
      <c r="IA127" s="45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</row>
    <row r="128" s="6" customFormat="1" ht="117" customHeight="1" spans="1:254">
      <c r="A128" s="26">
        <v>126</v>
      </c>
      <c r="B128" s="36"/>
      <c r="C128" s="37" t="s">
        <v>263</v>
      </c>
      <c r="D128" s="37" t="str">
        <f>_xlfn.DISPIMG("ID_53F0A46B908F429FB17E592AD1DF5B49",1)</f>
        <v>=DISPIMG("ID_53F0A46B908F429FB17E592AD1DF5B49",1)</v>
      </c>
      <c r="E128" s="29" t="s">
        <v>264</v>
      </c>
      <c r="F128" s="27" t="s">
        <v>13</v>
      </c>
      <c r="G128" s="30">
        <v>27</v>
      </c>
      <c r="H128" s="31"/>
      <c r="I128" s="30">
        <f t="shared" si="1"/>
        <v>0</v>
      </c>
      <c r="J128" s="43"/>
      <c r="K128" s="44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  <c r="FV128" s="45"/>
      <c r="FW128" s="45"/>
      <c r="FX128" s="45"/>
      <c r="FY128" s="45"/>
      <c r="FZ128" s="45"/>
      <c r="GA128" s="45"/>
      <c r="GB128" s="45"/>
      <c r="GC128" s="45"/>
      <c r="GD128" s="45"/>
      <c r="GE128" s="45"/>
      <c r="GF128" s="45"/>
      <c r="GG128" s="45"/>
      <c r="GH128" s="45"/>
      <c r="GI128" s="45"/>
      <c r="GJ128" s="45"/>
      <c r="GK128" s="45"/>
      <c r="GL128" s="45"/>
      <c r="GM128" s="45"/>
      <c r="GN128" s="45"/>
      <c r="GO128" s="45"/>
      <c r="GP128" s="45"/>
      <c r="GQ128" s="45"/>
      <c r="GR128" s="45"/>
      <c r="GS128" s="45"/>
      <c r="GT128" s="45"/>
      <c r="GU128" s="45"/>
      <c r="GV128" s="45"/>
      <c r="GW128" s="45"/>
      <c r="GX128" s="45"/>
      <c r="GY128" s="45"/>
      <c r="GZ128" s="45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HY128" s="45"/>
      <c r="HZ128" s="45"/>
      <c r="IA128" s="45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</row>
    <row r="129" s="6" customFormat="1" ht="117" customHeight="1" spans="1:254">
      <c r="A129" s="26">
        <v>127</v>
      </c>
      <c r="B129" s="36"/>
      <c r="C129" s="37" t="s">
        <v>265</v>
      </c>
      <c r="D129" s="37" t="str">
        <f>_xlfn.DISPIMG("ID_D13CA21239FF4F8CAD6EAF523CE77989",1)</f>
        <v>=DISPIMG("ID_D13CA21239FF4F8CAD6EAF523CE77989",1)</v>
      </c>
      <c r="E129" s="29" t="s">
        <v>266</v>
      </c>
      <c r="F129" s="27" t="s">
        <v>13</v>
      </c>
      <c r="G129" s="30">
        <v>8</v>
      </c>
      <c r="H129" s="31"/>
      <c r="I129" s="30">
        <f t="shared" si="1"/>
        <v>0</v>
      </c>
      <c r="J129" s="43"/>
      <c r="K129" s="44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  <c r="FV129" s="45"/>
      <c r="FW129" s="45"/>
      <c r="FX129" s="45"/>
      <c r="FY129" s="45"/>
      <c r="FZ129" s="45"/>
      <c r="GA129" s="45"/>
      <c r="GB129" s="45"/>
      <c r="GC129" s="45"/>
      <c r="GD129" s="45"/>
      <c r="GE129" s="45"/>
      <c r="GF129" s="45"/>
      <c r="GG129" s="45"/>
      <c r="GH129" s="45"/>
      <c r="GI129" s="45"/>
      <c r="GJ129" s="45"/>
      <c r="GK129" s="45"/>
      <c r="GL129" s="45"/>
      <c r="GM129" s="45"/>
      <c r="GN129" s="45"/>
      <c r="GO129" s="45"/>
      <c r="GP129" s="45"/>
      <c r="GQ129" s="45"/>
      <c r="GR129" s="45"/>
      <c r="GS129" s="45"/>
      <c r="GT129" s="45"/>
      <c r="GU129" s="45"/>
      <c r="GV129" s="45"/>
      <c r="GW129" s="45"/>
      <c r="GX129" s="45"/>
      <c r="GY129" s="45"/>
      <c r="GZ129" s="45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HY129" s="45"/>
      <c r="HZ129" s="45"/>
      <c r="IA129" s="45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</row>
    <row r="130" s="6" customFormat="1" ht="118" customHeight="1" spans="1:254">
      <c r="A130" s="26">
        <v>128</v>
      </c>
      <c r="B130" s="36"/>
      <c r="C130" s="37" t="s">
        <v>267</v>
      </c>
      <c r="D130" s="37" t="str">
        <f>_xlfn.DISPIMG("ID_41F0792BEB5C486784970DE04706E68B",1)</f>
        <v>=DISPIMG("ID_41F0792BEB5C486784970DE04706E68B",1)</v>
      </c>
      <c r="E130" s="29" t="s">
        <v>268</v>
      </c>
      <c r="F130" s="27" t="s">
        <v>13</v>
      </c>
      <c r="G130" s="30">
        <v>6</v>
      </c>
      <c r="H130" s="31"/>
      <c r="I130" s="30">
        <f t="shared" si="1"/>
        <v>0</v>
      </c>
      <c r="J130" s="43"/>
      <c r="K130" s="44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  <c r="FV130" s="45"/>
      <c r="FW130" s="45"/>
      <c r="FX130" s="45"/>
      <c r="FY130" s="45"/>
      <c r="FZ130" s="45"/>
      <c r="GA130" s="45"/>
      <c r="GB130" s="45"/>
      <c r="GC130" s="45"/>
      <c r="GD130" s="45"/>
      <c r="GE130" s="45"/>
      <c r="GF130" s="45"/>
      <c r="GG130" s="45"/>
      <c r="GH130" s="45"/>
      <c r="GI130" s="45"/>
      <c r="GJ130" s="45"/>
      <c r="GK130" s="45"/>
      <c r="GL130" s="45"/>
      <c r="GM130" s="45"/>
      <c r="GN130" s="45"/>
      <c r="GO130" s="45"/>
      <c r="GP130" s="45"/>
      <c r="GQ130" s="45"/>
      <c r="GR130" s="45"/>
      <c r="GS130" s="45"/>
      <c r="GT130" s="45"/>
      <c r="GU130" s="45"/>
      <c r="GV130" s="45"/>
      <c r="GW130" s="45"/>
      <c r="GX130" s="45"/>
      <c r="GY130" s="45"/>
      <c r="GZ130" s="45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HY130" s="45"/>
      <c r="HZ130" s="45"/>
      <c r="IA130" s="45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</row>
    <row r="131" s="6" customFormat="1" ht="59" customHeight="1" spans="1:254">
      <c r="A131" s="26">
        <v>129</v>
      </c>
      <c r="B131" s="36"/>
      <c r="C131" s="37" t="s">
        <v>269</v>
      </c>
      <c r="D131" s="37" t="str">
        <f>_xlfn.DISPIMG("ID_6AD3BA9A918B439B93EDEEC6B648693F",1)</f>
        <v>=DISPIMG("ID_6AD3BA9A918B439B93EDEEC6B648693F",1)</v>
      </c>
      <c r="E131" s="29" t="s">
        <v>270</v>
      </c>
      <c r="F131" s="27" t="s">
        <v>262</v>
      </c>
      <c r="G131" s="30">
        <v>49</v>
      </c>
      <c r="H131" s="31"/>
      <c r="I131" s="30">
        <f t="shared" ref="I131:I194" si="2">G131*H131</f>
        <v>0</v>
      </c>
      <c r="J131" s="43"/>
      <c r="K131" s="44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  <c r="FV131" s="45"/>
      <c r="FW131" s="45"/>
      <c r="FX131" s="45"/>
      <c r="FY131" s="45"/>
      <c r="FZ131" s="45"/>
      <c r="GA131" s="45"/>
      <c r="GB131" s="45"/>
      <c r="GC131" s="45"/>
      <c r="GD131" s="45"/>
      <c r="GE131" s="45"/>
      <c r="GF131" s="45"/>
      <c r="GG131" s="45"/>
      <c r="GH131" s="45"/>
      <c r="GI131" s="45"/>
      <c r="GJ131" s="45"/>
      <c r="GK131" s="45"/>
      <c r="GL131" s="45"/>
      <c r="GM131" s="45"/>
      <c r="GN131" s="45"/>
      <c r="GO131" s="45"/>
      <c r="GP131" s="45"/>
      <c r="GQ131" s="45"/>
      <c r="GR131" s="45"/>
      <c r="GS131" s="45"/>
      <c r="GT131" s="45"/>
      <c r="GU131" s="45"/>
      <c r="GV131" s="45"/>
      <c r="GW131" s="45"/>
      <c r="GX131" s="45"/>
      <c r="GY131" s="45"/>
      <c r="GZ131" s="45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HY131" s="45"/>
      <c r="HZ131" s="45"/>
      <c r="IA131" s="45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</row>
    <row r="132" s="6" customFormat="1" ht="114" customHeight="1" spans="1:254">
      <c r="A132" s="26">
        <v>130</v>
      </c>
      <c r="B132" s="36"/>
      <c r="C132" s="37" t="s">
        <v>271</v>
      </c>
      <c r="D132" s="37" t="str">
        <f>_xlfn.DISPIMG("ID_4916F5FC007C46C789D311ABDA76D9E1",1)</f>
        <v>=DISPIMG("ID_4916F5FC007C46C789D311ABDA76D9E1",1)</v>
      </c>
      <c r="E132" s="29" t="s">
        <v>272</v>
      </c>
      <c r="F132" s="27" t="s">
        <v>13</v>
      </c>
      <c r="G132" s="30">
        <v>2</v>
      </c>
      <c r="H132" s="31"/>
      <c r="I132" s="30">
        <f t="shared" si="2"/>
        <v>0</v>
      </c>
      <c r="J132" s="43"/>
      <c r="K132" s="44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</row>
    <row r="133" s="6" customFormat="1" ht="114" customHeight="1" spans="1:254">
      <c r="A133" s="26">
        <v>131</v>
      </c>
      <c r="B133" s="36"/>
      <c r="C133" s="37" t="s">
        <v>273</v>
      </c>
      <c r="D133" s="37" t="str">
        <f>_xlfn.DISPIMG("ID_D5EE2B546C624A939B65509F630BBBA0",1)</f>
        <v>=DISPIMG("ID_D5EE2B546C624A939B65509F630BBBA0",1)</v>
      </c>
      <c r="E133" s="29" t="s">
        <v>274</v>
      </c>
      <c r="F133" s="27" t="s">
        <v>13</v>
      </c>
      <c r="G133" s="30">
        <v>1</v>
      </c>
      <c r="H133" s="31"/>
      <c r="I133" s="30">
        <f t="shared" si="2"/>
        <v>0</v>
      </c>
      <c r="J133" s="43"/>
      <c r="K133" s="44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</row>
    <row r="134" s="6" customFormat="1" ht="114" customHeight="1" spans="1:254">
      <c r="A134" s="26">
        <v>132</v>
      </c>
      <c r="B134" s="36"/>
      <c r="C134" s="37" t="s">
        <v>275</v>
      </c>
      <c r="D134" s="37" t="str">
        <f>_xlfn.DISPIMG("ID_FC2E3120398D45D59D351816FEC668A2",1)</f>
        <v>=DISPIMG("ID_FC2E3120398D45D59D351816FEC668A2",1)</v>
      </c>
      <c r="E134" s="29" t="s">
        <v>276</v>
      </c>
      <c r="F134" s="27" t="s">
        <v>13</v>
      </c>
      <c r="G134" s="30">
        <v>1</v>
      </c>
      <c r="H134" s="31"/>
      <c r="I134" s="30">
        <f t="shared" si="2"/>
        <v>0</v>
      </c>
      <c r="J134" s="43"/>
      <c r="K134" s="44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</row>
    <row r="135" s="6" customFormat="1" ht="95" customHeight="1" spans="1:254">
      <c r="A135" s="26">
        <v>133</v>
      </c>
      <c r="B135" s="36"/>
      <c r="C135" s="37" t="s">
        <v>277</v>
      </c>
      <c r="D135" s="37" t="str">
        <f>_xlfn.DISPIMG("ID_F5150EB0AA05418BA18AA37C46B9171B",1)</f>
        <v>=DISPIMG("ID_F5150EB0AA05418BA18AA37C46B9171B",1)</v>
      </c>
      <c r="E135" s="29" t="s">
        <v>278</v>
      </c>
      <c r="F135" s="27" t="s">
        <v>13</v>
      </c>
      <c r="G135" s="30">
        <v>6</v>
      </c>
      <c r="H135" s="31"/>
      <c r="I135" s="30">
        <f t="shared" si="2"/>
        <v>0</v>
      </c>
      <c r="J135" s="43"/>
      <c r="K135" s="44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</row>
    <row r="136" s="6" customFormat="1" ht="61" customHeight="1" spans="1:254">
      <c r="A136" s="26">
        <v>134</v>
      </c>
      <c r="B136" s="36"/>
      <c r="C136" s="37" t="s">
        <v>279</v>
      </c>
      <c r="D136" s="37" t="str">
        <f>_xlfn.DISPIMG("ID_ED8CB552F7D742D3BD8113197EAD62F0",1)</f>
        <v>=DISPIMG("ID_ED8CB552F7D742D3BD8113197EAD62F0",1)</v>
      </c>
      <c r="E136" s="29" t="s">
        <v>280</v>
      </c>
      <c r="F136" s="27" t="s">
        <v>262</v>
      </c>
      <c r="G136" s="30">
        <v>85</v>
      </c>
      <c r="H136" s="31"/>
      <c r="I136" s="30">
        <f t="shared" si="2"/>
        <v>0</v>
      </c>
      <c r="J136" s="43"/>
      <c r="K136" s="44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</row>
    <row r="137" s="6" customFormat="1" ht="132" customHeight="1" spans="1:254">
      <c r="A137" s="26">
        <v>135</v>
      </c>
      <c r="B137" s="36"/>
      <c r="C137" s="37" t="s">
        <v>281</v>
      </c>
      <c r="D137" s="37" t="str">
        <f>_xlfn.DISPIMG("ID_1AA295C67DD14B7789E71C7900F7570F",1)</f>
        <v>=DISPIMG("ID_1AA295C67DD14B7789E71C7900F7570F",1)</v>
      </c>
      <c r="E137" s="29" t="s">
        <v>282</v>
      </c>
      <c r="F137" s="27" t="s">
        <v>283</v>
      </c>
      <c r="G137" s="30">
        <v>1</v>
      </c>
      <c r="H137" s="31"/>
      <c r="I137" s="30">
        <f t="shared" si="2"/>
        <v>0</v>
      </c>
      <c r="J137" s="43"/>
      <c r="K137" s="44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</row>
    <row r="138" s="6" customFormat="1" ht="122" customHeight="1" spans="1:254">
      <c r="A138" s="26">
        <v>136</v>
      </c>
      <c r="B138" s="36"/>
      <c r="C138" s="37" t="s">
        <v>284</v>
      </c>
      <c r="D138" s="37" t="str">
        <f>_xlfn.DISPIMG("ID_1849A33A7C3A40E5B21C267ADC2C2DFF",1)</f>
        <v>=DISPIMG("ID_1849A33A7C3A40E5B21C267ADC2C2DFF",1)</v>
      </c>
      <c r="E138" s="29" t="s">
        <v>285</v>
      </c>
      <c r="F138" s="27" t="s">
        <v>283</v>
      </c>
      <c r="G138" s="30">
        <v>1</v>
      </c>
      <c r="H138" s="31"/>
      <c r="I138" s="30">
        <f t="shared" si="2"/>
        <v>0</v>
      </c>
      <c r="J138" s="43"/>
      <c r="K138" s="44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5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</row>
    <row r="139" s="6" customFormat="1" ht="122" customHeight="1" spans="1:254">
      <c r="A139" s="26">
        <v>137</v>
      </c>
      <c r="B139" s="36"/>
      <c r="C139" s="37" t="s">
        <v>286</v>
      </c>
      <c r="D139" s="37" t="str">
        <f>_xlfn.DISPIMG("ID_E0E77A7C3783404D9CFE465C288F78B2",1)</f>
        <v>=DISPIMG("ID_E0E77A7C3783404D9CFE465C288F78B2",1)</v>
      </c>
      <c r="E139" s="29" t="s">
        <v>287</v>
      </c>
      <c r="F139" s="27" t="s">
        <v>283</v>
      </c>
      <c r="G139" s="30">
        <v>1</v>
      </c>
      <c r="H139" s="31"/>
      <c r="I139" s="30">
        <f t="shared" si="2"/>
        <v>0</v>
      </c>
      <c r="J139" s="43"/>
      <c r="K139" s="44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</row>
    <row r="140" s="6" customFormat="1" ht="108" customHeight="1" spans="1:254">
      <c r="A140" s="26">
        <v>138</v>
      </c>
      <c r="B140" s="36"/>
      <c r="C140" s="37" t="s">
        <v>288</v>
      </c>
      <c r="D140" s="37" t="str">
        <f>_xlfn.DISPIMG("ID_A139D5B821F94A45A5B8956353445DC6",1)</f>
        <v>=DISPIMG("ID_A139D5B821F94A45A5B8956353445DC6",1)</v>
      </c>
      <c r="E140" s="29" t="s">
        <v>289</v>
      </c>
      <c r="F140" s="27" t="s">
        <v>13</v>
      </c>
      <c r="G140" s="30">
        <v>2</v>
      </c>
      <c r="H140" s="31"/>
      <c r="I140" s="30">
        <f t="shared" si="2"/>
        <v>0</v>
      </c>
      <c r="J140" s="43"/>
      <c r="K140" s="44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</row>
    <row r="141" s="6" customFormat="1" ht="144" customHeight="1" spans="1:254">
      <c r="A141" s="26">
        <v>139</v>
      </c>
      <c r="B141" s="36"/>
      <c r="C141" s="37" t="s">
        <v>290</v>
      </c>
      <c r="D141" s="37" t="str">
        <f>_xlfn.DISPIMG("ID_3F64269947854B4E800091DBCF42EDD4",1)</f>
        <v>=DISPIMG("ID_3F64269947854B4E800091DBCF42EDD4",1)</v>
      </c>
      <c r="E141" s="29" t="s">
        <v>291</v>
      </c>
      <c r="F141" s="27" t="s">
        <v>16</v>
      </c>
      <c r="G141" s="30">
        <v>4</v>
      </c>
      <c r="H141" s="31"/>
      <c r="I141" s="30">
        <f t="shared" si="2"/>
        <v>0</v>
      </c>
      <c r="J141" s="43"/>
      <c r="K141" s="44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5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</row>
    <row r="142" s="6" customFormat="1" ht="144" customHeight="1" spans="1:254">
      <c r="A142" s="26">
        <v>140</v>
      </c>
      <c r="B142" s="36"/>
      <c r="C142" s="37" t="s">
        <v>292</v>
      </c>
      <c r="D142" s="37" t="str">
        <f>_xlfn.DISPIMG("ID_7499DB660436463FAC410FD079BC5DA4",1)</f>
        <v>=DISPIMG("ID_7499DB660436463FAC410FD079BC5DA4",1)</v>
      </c>
      <c r="E142" s="29" t="s">
        <v>293</v>
      </c>
      <c r="F142" s="27" t="s">
        <v>16</v>
      </c>
      <c r="G142" s="30">
        <v>20</v>
      </c>
      <c r="H142" s="31"/>
      <c r="I142" s="30">
        <f t="shared" si="2"/>
        <v>0</v>
      </c>
      <c r="J142" s="43"/>
      <c r="K142" s="44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5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</row>
    <row r="143" s="6" customFormat="1" ht="144" customHeight="1" spans="1:254">
      <c r="A143" s="26">
        <v>141</v>
      </c>
      <c r="B143" s="36"/>
      <c r="C143" s="37" t="s">
        <v>294</v>
      </c>
      <c r="D143" s="37" t="str">
        <f>_xlfn.DISPIMG("ID_912212117D884FE8A9E62E2DAFC0B2C6",1)</f>
        <v>=DISPIMG("ID_912212117D884FE8A9E62E2DAFC0B2C6",1)</v>
      </c>
      <c r="E143" s="29" t="s">
        <v>295</v>
      </c>
      <c r="F143" s="27" t="s">
        <v>16</v>
      </c>
      <c r="G143" s="30">
        <v>4</v>
      </c>
      <c r="H143" s="31"/>
      <c r="I143" s="30">
        <f t="shared" si="2"/>
        <v>0</v>
      </c>
      <c r="J143" s="43"/>
      <c r="K143" s="44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5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</row>
    <row r="144" s="6" customFormat="1" ht="69" customHeight="1" spans="1:254">
      <c r="A144" s="26">
        <v>142</v>
      </c>
      <c r="B144" s="36"/>
      <c r="C144" s="37" t="s">
        <v>296</v>
      </c>
      <c r="D144" s="37" t="str">
        <f>_xlfn.DISPIMG("ID_8E6EE0E4ED9D471393D97F6524E4F6C1",1)</f>
        <v>=DISPIMG("ID_8E6EE0E4ED9D471393D97F6524E4F6C1",1)</v>
      </c>
      <c r="E144" s="29" t="s">
        <v>297</v>
      </c>
      <c r="F144" s="27" t="s">
        <v>16</v>
      </c>
      <c r="G144" s="30">
        <v>2</v>
      </c>
      <c r="H144" s="31"/>
      <c r="I144" s="30">
        <f t="shared" si="2"/>
        <v>0</v>
      </c>
      <c r="J144" s="43"/>
      <c r="K144" s="44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45"/>
      <c r="FN144" s="45"/>
      <c r="FO144" s="45"/>
      <c r="FP144" s="45"/>
      <c r="FQ144" s="45"/>
      <c r="FR144" s="45"/>
      <c r="FS144" s="45"/>
      <c r="FT144" s="45"/>
      <c r="FU144" s="45"/>
      <c r="FV144" s="45"/>
      <c r="FW144" s="45"/>
      <c r="FX144" s="45"/>
      <c r="FY144" s="45"/>
      <c r="FZ144" s="45"/>
      <c r="GA144" s="45"/>
      <c r="GB144" s="45"/>
      <c r="GC144" s="45"/>
      <c r="GD144" s="45"/>
      <c r="GE144" s="45"/>
      <c r="GF144" s="45"/>
      <c r="GG144" s="45"/>
      <c r="GH144" s="45"/>
      <c r="GI144" s="45"/>
      <c r="GJ144" s="45"/>
      <c r="GK144" s="45"/>
      <c r="GL144" s="45"/>
      <c r="GM144" s="45"/>
      <c r="GN144" s="45"/>
      <c r="GO144" s="45"/>
      <c r="GP144" s="45"/>
      <c r="GQ144" s="45"/>
      <c r="GR144" s="45"/>
      <c r="GS144" s="45"/>
      <c r="GT144" s="45"/>
      <c r="GU144" s="45"/>
      <c r="GV144" s="45"/>
      <c r="GW144" s="45"/>
      <c r="GX144" s="45"/>
      <c r="GY144" s="45"/>
      <c r="GZ144" s="45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HY144" s="45"/>
      <c r="HZ144" s="45"/>
      <c r="IA144" s="45"/>
      <c r="IB144" s="45"/>
      <c r="IC144" s="45"/>
      <c r="ID144" s="45"/>
      <c r="IE144" s="45"/>
      <c r="IF144" s="45"/>
      <c r="IG144" s="45"/>
      <c r="IH144" s="45"/>
      <c r="II144" s="45"/>
      <c r="IJ144" s="45"/>
      <c r="IK144" s="45"/>
      <c r="IL144" s="45"/>
      <c r="IM144" s="45"/>
      <c r="IN144" s="45"/>
      <c r="IO144" s="45"/>
      <c r="IP144" s="45"/>
      <c r="IQ144" s="45"/>
      <c r="IR144" s="45"/>
      <c r="IS144" s="45"/>
      <c r="IT144" s="45"/>
    </row>
    <row r="145" s="6" customFormat="1" ht="109" customHeight="1" spans="1:254">
      <c r="A145" s="26">
        <v>143</v>
      </c>
      <c r="B145" s="36"/>
      <c r="C145" s="37" t="s">
        <v>298</v>
      </c>
      <c r="D145" s="37" t="str">
        <f>_xlfn.DISPIMG("ID_B8AA41B0AFBD402AB0EBF71323563502",1)</f>
        <v>=DISPIMG("ID_B8AA41B0AFBD402AB0EBF71323563502",1)</v>
      </c>
      <c r="E145" s="29" t="s">
        <v>299</v>
      </c>
      <c r="F145" s="27" t="s">
        <v>13</v>
      </c>
      <c r="G145" s="30">
        <v>6</v>
      </c>
      <c r="H145" s="31"/>
      <c r="I145" s="30">
        <f t="shared" si="2"/>
        <v>0</v>
      </c>
      <c r="J145" s="43"/>
      <c r="K145" s="44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45"/>
      <c r="FN145" s="45"/>
      <c r="FO145" s="45"/>
      <c r="FP145" s="45"/>
      <c r="FQ145" s="45"/>
      <c r="FR145" s="45"/>
      <c r="FS145" s="45"/>
      <c r="FT145" s="45"/>
      <c r="FU145" s="45"/>
      <c r="FV145" s="45"/>
      <c r="FW145" s="45"/>
      <c r="FX145" s="45"/>
      <c r="FY145" s="45"/>
      <c r="FZ145" s="45"/>
      <c r="GA145" s="45"/>
      <c r="GB145" s="45"/>
      <c r="GC145" s="45"/>
      <c r="GD145" s="45"/>
      <c r="GE145" s="45"/>
      <c r="GF145" s="45"/>
      <c r="GG145" s="45"/>
      <c r="GH145" s="45"/>
      <c r="GI145" s="45"/>
      <c r="GJ145" s="45"/>
      <c r="GK145" s="45"/>
      <c r="GL145" s="45"/>
      <c r="GM145" s="45"/>
      <c r="GN145" s="45"/>
      <c r="GO145" s="45"/>
      <c r="GP145" s="45"/>
      <c r="GQ145" s="45"/>
      <c r="GR145" s="45"/>
      <c r="GS145" s="45"/>
      <c r="GT145" s="45"/>
      <c r="GU145" s="45"/>
      <c r="GV145" s="45"/>
      <c r="GW145" s="45"/>
      <c r="GX145" s="45"/>
      <c r="GY145" s="45"/>
      <c r="GZ145" s="45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</row>
    <row r="146" s="6" customFormat="1" ht="109" customHeight="1" spans="1:254">
      <c r="A146" s="26">
        <v>144</v>
      </c>
      <c r="B146" s="36"/>
      <c r="C146" s="37" t="s">
        <v>300</v>
      </c>
      <c r="D146" s="37" t="str">
        <f>_xlfn.DISPIMG("ID_7FE84BCA854D49B399AD182025DFF2E8",1)</f>
        <v>=DISPIMG("ID_7FE84BCA854D49B399AD182025DFF2E8",1)</v>
      </c>
      <c r="E146" s="29" t="s">
        <v>301</v>
      </c>
      <c r="F146" s="27" t="s">
        <v>262</v>
      </c>
      <c r="G146" s="30">
        <v>26</v>
      </c>
      <c r="H146" s="31"/>
      <c r="I146" s="30">
        <f t="shared" si="2"/>
        <v>0</v>
      </c>
      <c r="J146" s="43"/>
      <c r="K146" s="44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5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</row>
    <row r="147" s="6" customFormat="1" ht="109" customHeight="1" spans="1:254">
      <c r="A147" s="26">
        <v>145</v>
      </c>
      <c r="B147" s="36"/>
      <c r="C147" s="37" t="s">
        <v>302</v>
      </c>
      <c r="D147" s="37" t="str">
        <f>_xlfn.DISPIMG("ID_98EA8C4071B840CAAE6705F2E76639A4",1)</f>
        <v>=DISPIMG("ID_98EA8C4071B840CAAE6705F2E76639A4",1)</v>
      </c>
      <c r="E147" s="29" t="s">
        <v>303</v>
      </c>
      <c r="F147" s="27" t="s">
        <v>262</v>
      </c>
      <c r="G147" s="30">
        <v>29</v>
      </c>
      <c r="H147" s="31"/>
      <c r="I147" s="30">
        <f t="shared" si="2"/>
        <v>0</v>
      </c>
      <c r="J147" s="43"/>
      <c r="K147" s="44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  <c r="FV147" s="45"/>
      <c r="FW147" s="45"/>
      <c r="FX147" s="45"/>
      <c r="FY147" s="45"/>
      <c r="FZ147" s="45"/>
      <c r="GA147" s="45"/>
      <c r="GB147" s="45"/>
      <c r="GC147" s="45"/>
      <c r="GD147" s="45"/>
      <c r="GE147" s="45"/>
      <c r="GF147" s="45"/>
      <c r="GG147" s="45"/>
      <c r="GH147" s="45"/>
      <c r="GI147" s="45"/>
      <c r="GJ147" s="45"/>
      <c r="GK147" s="45"/>
      <c r="GL147" s="45"/>
      <c r="GM147" s="45"/>
      <c r="GN147" s="45"/>
      <c r="GO147" s="45"/>
      <c r="GP147" s="45"/>
      <c r="GQ147" s="45"/>
      <c r="GR147" s="45"/>
      <c r="GS147" s="45"/>
      <c r="GT147" s="45"/>
      <c r="GU147" s="45"/>
      <c r="GV147" s="45"/>
      <c r="GW147" s="45"/>
      <c r="GX147" s="45"/>
      <c r="GY147" s="45"/>
      <c r="GZ147" s="45"/>
      <c r="HA147" s="45"/>
      <c r="HB147" s="45"/>
      <c r="HC147" s="45"/>
      <c r="HD147" s="45"/>
      <c r="HE147" s="45"/>
      <c r="HF147" s="45"/>
      <c r="HG147" s="45"/>
      <c r="HH147" s="45"/>
      <c r="HI147" s="45"/>
      <c r="HJ147" s="45"/>
      <c r="HK147" s="45"/>
      <c r="HL147" s="45"/>
      <c r="HM147" s="45"/>
      <c r="HN147" s="45"/>
      <c r="HO147" s="45"/>
      <c r="HP147" s="45"/>
      <c r="HQ147" s="45"/>
      <c r="HR147" s="45"/>
      <c r="HS147" s="45"/>
      <c r="HT147" s="45"/>
      <c r="HU147" s="45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</row>
    <row r="148" s="6" customFormat="1" ht="146" customHeight="1" spans="1:254">
      <c r="A148" s="26">
        <v>146</v>
      </c>
      <c r="B148" s="36"/>
      <c r="C148" s="37" t="s">
        <v>304</v>
      </c>
      <c r="D148" s="37" t="str">
        <f>_xlfn.DISPIMG("ID_3218F9E84DF243B39412106E87337073",1)</f>
        <v>=DISPIMG("ID_3218F9E84DF243B39412106E87337073",1)</v>
      </c>
      <c r="E148" s="29" t="s">
        <v>305</v>
      </c>
      <c r="F148" s="27" t="s">
        <v>262</v>
      </c>
      <c r="G148" s="30">
        <v>1</v>
      </c>
      <c r="H148" s="31"/>
      <c r="I148" s="30">
        <f t="shared" si="2"/>
        <v>0</v>
      </c>
      <c r="J148" s="43"/>
      <c r="K148" s="44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45"/>
      <c r="FN148" s="45"/>
      <c r="FO148" s="45"/>
      <c r="FP148" s="45"/>
      <c r="FQ148" s="45"/>
      <c r="FR148" s="45"/>
      <c r="FS148" s="45"/>
      <c r="FT148" s="45"/>
      <c r="FU148" s="45"/>
      <c r="FV148" s="45"/>
      <c r="FW148" s="45"/>
      <c r="FX148" s="45"/>
      <c r="FY148" s="45"/>
      <c r="FZ148" s="45"/>
      <c r="GA148" s="45"/>
      <c r="GB148" s="45"/>
      <c r="GC148" s="45"/>
      <c r="GD148" s="45"/>
      <c r="GE148" s="45"/>
      <c r="GF148" s="45"/>
      <c r="GG148" s="45"/>
      <c r="GH148" s="45"/>
      <c r="GI148" s="45"/>
      <c r="GJ148" s="45"/>
      <c r="GK148" s="45"/>
      <c r="GL148" s="45"/>
      <c r="GM148" s="45"/>
      <c r="GN148" s="45"/>
      <c r="GO148" s="45"/>
      <c r="GP148" s="45"/>
      <c r="GQ148" s="45"/>
      <c r="GR148" s="45"/>
      <c r="GS148" s="45"/>
      <c r="GT148" s="45"/>
      <c r="GU148" s="45"/>
      <c r="GV148" s="45"/>
      <c r="GW148" s="45"/>
      <c r="GX148" s="45"/>
      <c r="GY148" s="45"/>
      <c r="GZ148" s="45"/>
      <c r="HA148" s="45"/>
      <c r="HB148" s="45"/>
      <c r="HC148" s="45"/>
      <c r="HD148" s="45"/>
      <c r="HE148" s="45"/>
      <c r="HF148" s="45"/>
      <c r="HG148" s="45"/>
      <c r="HH148" s="45"/>
      <c r="HI148" s="45"/>
      <c r="HJ148" s="45"/>
      <c r="HK148" s="45"/>
      <c r="HL148" s="45"/>
      <c r="HM148" s="45"/>
      <c r="HN148" s="45"/>
      <c r="HO148" s="45"/>
      <c r="HP148" s="45"/>
      <c r="HQ148" s="45"/>
      <c r="HR148" s="45"/>
      <c r="HS148" s="45"/>
      <c r="HT148" s="45"/>
      <c r="HU148" s="45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</row>
    <row r="149" s="6" customFormat="1" ht="106" customHeight="1" spans="1:254">
      <c r="A149" s="26">
        <v>147</v>
      </c>
      <c r="B149" s="36"/>
      <c r="C149" s="37" t="s">
        <v>306</v>
      </c>
      <c r="D149" s="37" t="str">
        <f>_xlfn.DISPIMG("ID_D817697A0EC344B392C98A11607EED48",1)</f>
        <v>=DISPIMG("ID_D817697A0EC344B392C98A11607EED48",1)</v>
      </c>
      <c r="E149" s="29" t="s">
        <v>307</v>
      </c>
      <c r="F149" s="27" t="s">
        <v>262</v>
      </c>
      <c r="G149" s="30">
        <v>1</v>
      </c>
      <c r="H149" s="31"/>
      <c r="I149" s="30">
        <f t="shared" si="2"/>
        <v>0</v>
      </c>
      <c r="J149" s="43"/>
      <c r="K149" s="44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45"/>
      <c r="FN149" s="45"/>
      <c r="FO149" s="45"/>
      <c r="FP149" s="45"/>
      <c r="FQ149" s="45"/>
      <c r="FR149" s="45"/>
      <c r="FS149" s="45"/>
      <c r="FT149" s="45"/>
      <c r="FU149" s="45"/>
      <c r="FV149" s="45"/>
      <c r="FW149" s="45"/>
      <c r="FX149" s="45"/>
      <c r="FY149" s="45"/>
      <c r="FZ149" s="45"/>
      <c r="GA149" s="45"/>
      <c r="GB149" s="45"/>
      <c r="GC149" s="45"/>
      <c r="GD149" s="45"/>
      <c r="GE149" s="45"/>
      <c r="GF149" s="45"/>
      <c r="GG149" s="45"/>
      <c r="GH149" s="45"/>
      <c r="GI149" s="45"/>
      <c r="GJ149" s="45"/>
      <c r="GK149" s="45"/>
      <c r="GL149" s="45"/>
      <c r="GM149" s="45"/>
      <c r="GN149" s="45"/>
      <c r="GO149" s="45"/>
      <c r="GP149" s="45"/>
      <c r="GQ149" s="45"/>
      <c r="GR149" s="45"/>
      <c r="GS149" s="45"/>
      <c r="GT149" s="45"/>
      <c r="GU149" s="45"/>
      <c r="GV149" s="45"/>
      <c r="GW149" s="45"/>
      <c r="GX149" s="45"/>
      <c r="GY149" s="45"/>
      <c r="GZ149" s="45"/>
      <c r="HA149" s="45"/>
      <c r="HB149" s="45"/>
      <c r="HC149" s="45"/>
      <c r="HD149" s="45"/>
      <c r="HE149" s="45"/>
      <c r="HF149" s="45"/>
      <c r="HG149" s="45"/>
      <c r="HH149" s="45"/>
      <c r="HI149" s="45"/>
      <c r="HJ149" s="45"/>
      <c r="HK149" s="45"/>
      <c r="HL149" s="45"/>
      <c r="HM149" s="45"/>
      <c r="HN149" s="45"/>
      <c r="HO149" s="45"/>
      <c r="HP149" s="45"/>
      <c r="HQ149" s="45"/>
      <c r="HR149" s="45"/>
      <c r="HS149" s="45"/>
      <c r="HT149" s="45"/>
      <c r="HU149" s="45"/>
      <c r="HV149" s="45"/>
      <c r="HW149" s="45"/>
      <c r="HX149" s="45"/>
      <c r="HY149" s="45"/>
      <c r="HZ149" s="45"/>
      <c r="IA149" s="45"/>
      <c r="IB149" s="45"/>
      <c r="IC149" s="45"/>
      <c r="ID149" s="45"/>
      <c r="IE149" s="45"/>
      <c r="IF149" s="45"/>
      <c r="IG149" s="45"/>
      <c r="IH149" s="45"/>
      <c r="II149" s="45"/>
      <c r="IJ149" s="45"/>
      <c r="IK149" s="45"/>
      <c r="IL149" s="45"/>
      <c r="IM149" s="45"/>
      <c r="IN149" s="45"/>
      <c r="IO149" s="45"/>
      <c r="IP149" s="45"/>
      <c r="IQ149" s="45"/>
      <c r="IR149" s="45"/>
      <c r="IS149" s="45"/>
      <c r="IT149" s="45"/>
    </row>
    <row r="150" s="6" customFormat="1" ht="106" customHeight="1" spans="1:254">
      <c r="A150" s="26">
        <v>148</v>
      </c>
      <c r="B150" s="36"/>
      <c r="C150" s="37" t="s">
        <v>308</v>
      </c>
      <c r="D150" s="37" t="str">
        <f>_xlfn.DISPIMG("ID_681761FF91544F1EB8CAAD9EE3206658",1)</f>
        <v>=DISPIMG("ID_681761FF91544F1EB8CAAD9EE3206658",1)</v>
      </c>
      <c r="E150" s="29" t="s">
        <v>309</v>
      </c>
      <c r="F150" s="27" t="s">
        <v>262</v>
      </c>
      <c r="G150" s="30">
        <v>1</v>
      </c>
      <c r="H150" s="31"/>
      <c r="I150" s="30">
        <f t="shared" si="2"/>
        <v>0</v>
      </c>
      <c r="J150" s="43"/>
      <c r="K150" s="44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5"/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5"/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5"/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5"/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5"/>
      <c r="HX150" s="45"/>
      <c r="HY150" s="45"/>
      <c r="HZ150" s="45"/>
      <c r="IA150" s="45"/>
      <c r="IB150" s="45"/>
      <c r="IC150" s="45"/>
      <c r="ID150" s="45"/>
      <c r="IE150" s="45"/>
      <c r="IF150" s="45"/>
      <c r="IG150" s="45"/>
      <c r="IH150" s="45"/>
      <c r="II150" s="45"/>
      <c r="IJ150" s="45"/>
      <c r="IK150" s="45"/>
      <c r="IL150" s="45"/>
      <c r="IM150" s="45"/>
      <c r="IN150" s="45"/>
      <c r="IO150" s="45"/>
      <c r="IP150" s="45"/>
      <c r="IQ150" s="45"/>
      <c r="IR150" s="45"/>
      <c r="IS150" s="45"/>
      <c r="IT150" s="45"/>
    </row>
    <row r="151" s="6" customFormat="1" ht="89" customHeight="1" spans="1:254">
      <c r="A151" s="26">
        <v>149</v>
      </c>
      <c r="B151" s="46" t="s">
        <v>41</v>
      </c>
      <c r="C151" s="37" t="s">
        <v>310</v>
      </c>
      <c r="D151" s="37" t="str">
        <f>_xlfn.DISPIMG("ID_55444AF12A094AAAAFACE39BDB46F2D7",1)</f>
        <v>=DISPIMG("ID_55444AF12A094AAAAFACE39BDB46F2D7",1)</v>
      </c>
      <c r="E151" s="29" t="s">
        <v>311</v>
      </c>
      <c r="F151" s="27" t="s">
        <v>262</v>
      </c>
      <c r="G151" s="30">
        <v>153</v>
      </c>
      <c r="H151" s="31"/>
      <c r="I151" s="30">
        <f t="shared" si="2"/>
        <v>0</v>
      </c>
      <c r="J151" s="43"/>
      <c r="K151" s="44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45"/>
      <c r="FN151" s="45"/>
      <c r="FO151" s="45"/>
      <c r="FP151" s="45"/>
      <c r="FQ151" s="45"/>
      <c r="FR151" s="45"/>
      <c r="FS151" s="45"/>
      <c r="FT151" s="45"/>
      <c r="FU151" s="45"/>
      <c r="FV151" s="45"/>
      <c r="FW151" s="45"/>
      <c r="FX151" s="45"/>
      <c r="FY151" s="45"/>
      <c r="FZ151" s="45"/>
      <c r="GA151" s="45"/>
      <c r="GB151" s="45"/>
      <c r="GC151" s="45"/>
      <c r="GD151" s="45"/>
      <c r="GE151" s="45"/>
      <c r="GF151" s="45"/>
      <c r="GG151" s="45"/>
      <c r="GH151" s="45"/>
      <c r="GI151" s="45"/>
      <c r="GJ151" s="45"/>
      <c r="GK151" s="45"/>
      <c r="GL151" s="45"/>
      <c r="GM151" s="45"/>
      <c r="GN151" s="45"/>
      <c r="GO151" s="45"/>
      <c r="GP151" s="45"/>
      <c r="GQ151" s="45"/>
      <c r="GR151" s="45"/>
      <c r="GS151" s="45"/>
      <c r="GT151" s="45"/>
      <c r="GU151" s="45"/>
      <c r="GV151" s="45"/>
      <c r="GW151" s="45"/>
      <c r="GX151" s="45"/>
      <c r="GY151" s="45"/>
      <c r="GZ151" s="45"/>
      <c r="HA151" s="45"/>
      <c r="HB151" s="45"/>
      <c r="HC151" s="45"/>
      <c r="HD151" s="45"/>
      <c r="HE151" s="45"/>
      <c r="HF151" s="45"/>
      <c r="HG151" s="45"/>
      <c r="HH151" s="45"/>
      <c r="HI151" s="45"/>
      <c r="HJ151" s="45"/>
      <c r="HK151" s="45"/>
      <c r="HL151" s="45"/>
      <c r="HM151" s="45"/>
      <c r="HN151" s="45"/>
      <c r="HO151" s="45"/>
      <c r="HP151" s="45"/>
      <c r="HQ151" s="45"/>
      <c r="HR151" s="45"/>
      <c r="HS151" s="45"/>
      <c r="HT151" s="45"/>
      <c r="HU151" s="45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</row>
    <row r="152" s="6" customFormat="1" ht="162" customHeight="1" spans="1:254">
      <c r="A152" s="26">
        <v>150</v>
      </c>
      <c r="B152" s="36"/>
      <c r="C152" s="37" t="s">
        <v>312</v>
      </c>
      <c r="D152" s="37" t="str">
        <f>_xlfn.DISPIMG("ID_99BDF196C1D443F1B3D28DF4CCEAA773",1)</f>
        <v>=DISPIMG("ID_99BDF196C1D443F1B3D28DF4CCEAA773",1)</v>
      </c>
      <c r="E152" s="29" t="s">
        <v>313</v>
      </c>
      <c r="F152" s="27" t="s">
        <v>13</v>
      </c>
      <c r="G152" s="30">
        <v>1</v>
      </c>
      <c r="H152" s="31"/>
      <c r="I152" s="30">
        <f t="shared" si="2"/>
        <v>0</v>
      </c>
      <c r="J152" s="43"/>
      <c r="K152" s="44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  <c r="FV152" s="45"/>
      <c r="FW152" s="45"/>
      <c r="FX152" s="45"/>
      <c r="FY152" s="45"/>
      <c r="FZ152" s="45"/>
      <c r="GA152" s="45"/>
      <c r="GB152" s="45"/>
      <c r="GC152" s="45"/>
      <c r="GD152" s="45"/>
      <c r="GE152" s="45"/>
      <c r="GF152" s="45"/>
      <c r="GG152" s="45"/>
      <c r="GH152" s="45"/>
      <c r="GI152" s="45"/>
      <c r="GJ152" s="45"/>
      <c r="GK152" s="45"/>
      <c r="GL152" s="45"/>
      <c r="GM152" s="45"/>
      <c r="GN152" s="45"/>
      <c r="GO152" s="45"/>
      <c r="GP152" s="45"/>
      <c r="GQ152" s="45"/>
      <c r="GR152" s="45"/>
      <c r="GS152" s="45"/>
      <c r="GT152" s="45"/>
      <c r="GU152" s="45"/>
      <c r="GV152" s="45"/>
      <c r="GW152" s="45"/>
      <c r="GX152" s="45"/>
      <c r="GY152" s="45"/>
      <c r="GZ152" s="45"/>
      <c r="HA152" s="45"/>
      <c r="HB152" s="45"/>
      <c r="HC152" s="45"/>
      <c r="HD152" s="45"/>
      <c r="HE152" s="45"/>
      <c r="HF152" s="45"/>
      <c r="HG152" s="45"/>
      <c r="HH152" s="45"/>
      <c r="HI152" s="45"/>
      <c r="HJ152" s="45"/>
      <c r="HK152" s="45"/>
      <c r="HL152" s="45"/>
      <c r="HM152" s="45"/>
      <c r="HN152" s="45"/>
      <c r="HO152" s="45"/>
      <c r="HP152" s="45"/>
      <c r="HQ152" s="45"/>
      <c r="HR152" s="45"/>
      <c r="HS152" s="45"/>
      <c r="HT152" s="45"/>
      <c r="HU152" s="45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</row>
    <row r="153" s="6" customFormat="1" ht="132" customHeight="1" spans="1:254">
      <c r="A153" s="26">
        <v>151</v>
      </c>
      <c r="B153" s="36"/>
      <c r="C153" s="37" t="s">
        <v>314</v>
      </c>
      <c r="D153" s="37" t="str">
        <f>_xlfn.DISPIMG("ID_293912FE902F415FA765A3EDC91EA4B0",1)</f>
        <v>=DISPIMG("ID_293912FE902F415FA765A3EDC91EA4B0",1)</v>
      </c>
      <c r="E153" s="29" t="s">
        <v>315</v>
      </c>
      <c r="F153" s="27" t="s">
        <v>13</v>
      </c>
      <c r="G153" s="30">
        <v>7</v>
      </c>
      <c r="H153" s="31"/>
      <c r="I153" s="30">
        <f t="shared" si="2"/>
        <v>0</v>
      </c>
      <c r="J153" s="43"/>
      <c r="K153" s="44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  <c r="FV153" s="45"/>
      <c r="FW153" s="45"/>
      <c r="FX153" s="45"/>
      <c r="FY153" s="45"/>
      <c r="FZ153" s="45"/>
      <c r="GA153" s="45"/>
      <c r="GB153" s="45"/>
      <c r="GC153" s="45"/>
      <c r="GD153" s="45"/>
      <c r="GE153" s="45"/>
      <c r="GF153" s="45"/>
      <c r="GG153" s="45"/>
      <c r="GH153" s="45"/>
      <c r="GI153" s="45"/>
      <c r="GJ153" s="45"/>
      <c r="GK153" s="45"/>
      <c r="GL153" s="45"/>
      <c r="GM153" s="45"/>
      <c r="GN153" s="45"/>
      <c r="GO153" s="45"/>
      <c r="GP153" s="45"/>
      <c r="GQ153" s="45"/>
      <c r="GR153" s="45"/>
      <c r="GS153" s="45"/>
      <c r="GT153" s="45"/>
      <c r="GU153" s="45"/>
      <c r="GV153" s="45"/>
      <c r="GW153" s="45"/>
      <c r="GX153" s="45"/>
      <c r="GY153" s="45"/>
      <c r="GZ153" s="45"/>
      <c r="HA153" s="45"/>
      <c r="HB153" s="45"/>
      <c r="HC153" s="45"/>
      <c r="HD153" s="45"/>
      <c r="HE153" s="45"/>
      <c r="HF153" s="45"/>
      <c r="HG153" s="45"/>
      <c r="HH153" s="45"/>
      <c r="HI153" s="45"/>
      <c r="HJ153" s="45"/>
      <c r="HK153" s="45"/>
      <c r="HL153" s="45"/>
      <c r="HM153" s="45"/>
      <c r="HN153" s="45"/>
      <c r="HO153" s="45"/>
      <c r="HP153" s="45"/>
      <c r="HQ153" s="45"/>
      <c r="HR153" s="45"/>
      <c r="HS153" s="45"/>
      <c r="HT153" s="45"/>
      <c r="HU153" s="45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</row>
    <row r="154" s="6" customFormat="1" ht="132" customHeight="1" spans="1:254">
      <c r="A154" s="26">
        <v>152</v>
      </c>
      <c r="B154" s="36"/>
      <c r="C154" s="37" t="s">
        <v>316</v>
      </c>
      <c r="D154" s="37" t="str">
        <f>_xlfn.DISPIMG("ID_109215040E7A41A7BD0D6B328FB93B6F",1)</f>
        <v>=DISPIMG("ID_109215040E7A41A7BD0D6B328FB93B6F",1)</v>
      </c>
      <c r="E154" s="29" t="s">
        <v>317</v>
      </c>
      <c r="F154" s="27" t="s">
        <v>13</v>
      </c>
      <c r="G154" s="30">
        <v>3</v>
      </c>
      <c r="H154" s="31"/>
      <c r="I154" s="30">
        <f t="shared" si="2"/>
        <v>0</v>
      </c>
      <c r="J154" s="43"/>
      <c r="K154" s="44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  <c r="FV154" s="45"/>
      <c r="FW154" s="45"/>
      <c r="FX154" s="45"/>
      <c r="FY154" s="45"/>
      <c r="FZ154" s="45"/>
      <c r="GA154" s="45"/>
      <c r="GB154" s="45"/>
      <c r="GC154" s="45"/>
      <c r="GD154" s="45"/>
      <c r="GE154" s="45"/>
      <c r="GF154" s="45"/>
      <c r="GG154" s="45"/>
      <c r="GH154" s="45"/>
      <c r="GI154" s="45"/>
      <c r="GJ154" s="45"/>
      <c r="GK154" s="45"/>
      <c r="GL154" s="45"/>
      <c r="GM154" s="45"/>
      <c r="GN154" s="45"/>
      <c r="GO154" s="45"/>
      <c r="GP154" s="45"/>
      <c r="GQ154" s="45"/>
      <c r="GR154" s="45"/>
      <c r="GS154" s="45"/>
      <c r="GT154" s="45"/>
      <c r="GU154" s="45"/>
      <c r="GV154" s="45"/>
      <c r="GW154" s="45"/>
      <c r="GX154" s="45"/>
      <c r="GY154" s="45"/>
      <c r="GZ154" s="45"/>
      <c r="HA154" s="45"/>
      <c r="HB154" s="45"/>
      <c r="HC154" s="45"/>
      <c r="HD154" s="45"/>
      <c r="HE154" s="45"/>
      <c r="HF154" s="45"/>
      <c r="HG154" s="45"/>
      <c r="HH154" s="45"/>
      <c r="HI154" s="45"/>
      <c r="HJ154" s="45"/>
      <c r="HK154" s="45"/>
      <c r="HL154" s="45"/>
      <c r="HM154" s="45"/>
      <c r="HN154" s="45"/>
      <c r="HO154" s="45"/>
      <c r="HP154" s="45"/>
      <c r="HQ154" s="45"/>
      <c r="HR154" s="45"/>
      <c r="HS154" s="45"/>
      <c r="HT154" s="45"/>
      <c r="HU154" s="45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</row>
    <row r="155" s="6" customFormat="1" ht="120" customHeight="1" spans="1:254">
      <c r="A155" s="26">
        <v>153</v>
      </c>
      <c r="B155" s="36"/>
      <c r="C155" s="37" t="s">
        <v>318</v>
      </c>
      <c r="D155" s="37" t="str">
        <f>_xlfn.DISPIMG("ID_8AB244724ABC4BA98D70B6DE79EBB8E8",1)</f>
        <v>=DISPIMG("ID_8AB244724ABC4BA98D70B6DE79EBB8E8",1)</v>
      </c>
      <c r="E155" s="29" t="s">
        <v>319</v>
      </c>
      <c r="F155" s="27" t="s">
        <v>13</v>
      </c>
      <c r="G155" s="30">
        <v>5</v>
      </c>
      <c r="H155" s="31"/>
      <c r="I155" s="30">
        <f t="shared" si="2"/>
        <v>0</v>
      </c>
      <c r="J155" s="43"/>
      <c r="K155" s="44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</row>
    <row r="156" s="6" customFormat="1" ht="165" customHeight="1" spans="1:254">
      <c r="A156" s="26">
        <v>154</v>
      </c>
      <c r="B156" s="36" t="s">
        <v>320</v>
      </c>
      <c r="C156" s="37" t="s">
        <v>321</v>
      </c>
      <c r="D156" s="37" t="str">
        <f>_xlfn.DISPIMG("ID_C42F65D4653845429806CDE1F4FA0800",1)</f>
        <v>=DISPIMG("ID_C42F65D4653845429806CDE1F4FA0800",1)</v>
      </c>
      <c r="E156" s="29" t="s">
        <v>322</v>
      </c>
      <c r="F156" s="27" t="s">
        <v>16</v>
      </c>
      <c r="G156" s="30">
        <v>30</v>
      </c>
      <c r="H156" s="31"/>
      <c r="I156" s="30">
        <f t="shared" si="2"/>
        <v>0</v>
      </c>
      <c r="J156" s="43"/>
      <c r="K156" s="44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5"/>
      <c r="FM156" s="45"/>
      <c r="FN156" s="45"/>
      <c r="FO156" s="45"/>
      <c r="FP156" s="45"/>
      <c r="FQ156" s="45"/>
      <c r="FR156" s="45"/>
      <c r="FS156" s="45"/>
      <c r="FT156" s="45"/>
      <c r="FU156" s="45"/>
      <c r="FV156" s="45"/>
      <c r="FW156" s="45"/>
      <c r="FX156" s="45"/>
      <c r="FY156" s="45"/>
      <c r="FZ156" s="45"/>
      <c r="GA156" s="45"/>
      <c r="GB156" s="45"/>
      <c r="GC156" s="45"/>
      <c r="GD156" s="45"/>
      <c r="GE156" s="45"/>
      <c r="GF156" s="45"/>
      <c r="GG156" s="45"/>
      <c r="GH156" s="45"/>
      <c r="GI156" s="45"/>
      <c r="GJ156" s="45"/>
      <c r="GK156" s="45"/>
      <c r="GL156" s="45"/>
      <c r="GM156" s="45"/>
      <c r="GN156" s="45"/>
      <c r="GO156" s="45"/>
      <c r="GP156" s="45"/>
      <c r="GQ156" s="45"/>
      <c r="GR156" s="45"/>
      <c r="GS156" s="45"/>
      <c r="GT156" s="45"/>
      <c r="GU156" s="45"/>
      <c r="GV156" s="45"/>
      <c r="GW156" s="45"/>
      <c r="GX156" s="45"/>
      <c r="GY156" s="45"/>
      <c r="GZ156" s="45"/>
      <c r="HA156" s="45"/>
      <c r="HB156" s="45"/>
      <c r="HC156" s="45"/>
      <c r="HD156" s="45"/>
      <c r="HE156" s="45"/>
      <c r="HF156" s="45"/>
      <c r="HG156" s="45"/>
      <c r="HH156" s="45"/>
      <c r="HI156" s="45"/>
      <c r="HJ156" s="45"/>
      <c r="HK156" s="45"/>
      <c r="HL156" s="45"/>
      <c r="HM156" s="45"/>
      <c r="HN156" s="45"/>
      <c r="HO156" s="45"/>
      <c r="HP156" s="45"/>
      <c r="HQ156" s="45"/>
      <c r="HR156" s="45"/>
      <c r="HS156" s="45"/>
      <c r="HT156" s="45"/>
      <c r="HU156" s="45"/>
      <c r="HV156" s="45"/>
      <c r="HW156" s="45"/>
      <c r="HX156" s="45"/>
      <c r="HY156" s="45"/>
      <c r="HZ156" s="45"/>
      <c r="IA156" s="45"/>
      <c r="IB156" s="45"/>
      <c r="IC156" s="45"/>
      <c r="ID156" s="45"/>
      <c r="IE156" s="45"/>
      <c r="IF156" s="45"/>
      <c r="IG156" s="45"/>
      <c r="IH156" s="45"/>
      <c r="II156" s="45"/>
      <c r="IJ156" s="45"/>
      <c r="IK156" s="45"/>
      <c r="IL156" s="45"/>
      <c r="IM156" s="45"/>
      <c r="IN156" s="45"/>
      <c r="IO156" s="45"/>
      <c r="IP156" s="45"/>
      <c r="IQ156" s="45"/>
      <c r="IR156" s="45"/>
      <c r="IS156" s="45"/>
      <c r="IT156" s="45"/>
    </row>
    <row r="157" s="6" customFormat="1" ht="165" customHeight="1" spans="1:254">
      <c r="A157" s="26">
        <v>155</v>
      </c>
      <c r="B157" s="36"/>
      <c r="C157" s="37" t="s">
        <v>323</v>
      </c>
      <c r="D157" s="37" t="str">
        <f>_xlfn.DISPIMG("ID_B8446146D63F4F15A5CE61CBEA24F331",1)</f>
        <v>=DISPIMG("ID_B8446146D63F4F15A5CE61CBEA24F331",1)</v>
      </c>
      <c r="E157" s="29" t="s">
        <v>324</v>
      </c>
      <c r="F157" s="27" t="s">
        <v>13</v>
      </c>
      <c r="G157" s="30">
        <v>23</v>
      </c>
      <c r="H157" s="31"/>
      <c r="I157" s="30">
        <f t="shared" si="2"/>
        <v>0</v>
      </c>
      <c r="J157" s="43"/>
      <c r="K157" s="44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5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</row>
    <row r="158" s="6" customFormat="1" ht="165" customHeight="1" spans="1:254">
      <c r="A158" s="26">
        <v>156</v>
      </c>
      <c r="B158" s="36"/>
      <c r="C158" s="37" t="s">
        <v>325</v>
      </c>
      <c r="D158" s="37" t="str">
        <f>_xlfn.DISPIMG("ID_B41E80B3D5184BFE934508FDAED1F641",1)</f>
        <v>=DISPIMG("ID_B41E80B3D5184BFE934508FDAED1F641",1)</v>
      </c>
      <c r="E158" s="29" t="s">
        <v>326</v>
      </c>
      <c r="F158" s="27" t="s">
        <v>13</v>
      </c>
      <c r="G158" s="30">
        <v>6</v>
      </c>
      <c r="H158" s="31"/>
      <c r="I158" s="30">
        <f t="shared" si="2"/>
        <v>0</v>
      </c>
      <c r="J158" s="43"/>
      <c r="K158" s="44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5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</row>
    <row r="159" s="6" customFormat="1" ht="165" customHeight="1" spans="1:254">
      <c r="A159" s="26">
        <v>157</v>
      </c>
      <c r="B159" s="36"/>
      <c r="C159" s="37" t="s">
        <v>327</v>
      </c>
      <c r="D159" s="37" t="str">
        <f>_xlfn.DISPIMG("ID_A37A251C06D74786A011854D072714D8",1)</f>
        <v>=DISPIMG("ID_A37A251C06D74786A011854D072714D8",1)</v>
      </c>
      <c r="E159" s="29" t="s">
        <v>328</v>
      </c>
      <c r="F159" s="27" t="s">
        <v>13</v>
      </c>
      <c r="G159" s="30">
        <v>2</v>
      </c>
      <c r="H159" s="31"/>
      <c r="I159" s="30">
        <f t="shared" si="2"/>
        <v>0</v>
      </c>
      <c r="J159" s="43"/>
      <c r="K159" s="44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45"/>
      <c r="FN159" s="45"/>
      <c r="FO159" s="45"/>
      <c r="FP159" s="45"/>
      <c r="FQ159" s="45"/>
      <c r="FR159" s="45"/>
      <c r="FS159" s="45"/>
      <c r="FT159" s="45"/>
      <c r="FU159" s="45"/>
      <c r="FV159" s="45"/>
      <c r="FW159" s="45"/>
      <c r="FX159" s="45"/>
      <c r="FY159" s="45"/>
      <c r="FZ159" s="45"/>
      <c r="GA159" s="45"/>
      <c r="GB159" s="45"/>
      <c r="GC159" s="45"/>
      <c r="GD159" s="45"/>
      <c r="GE159" s="45"/>
      <c r="GF159" s="45"/>
      <c r="GG159" s="45"/>
      <c r="GH159" s="45"/>
      <c r="GI159" s="45"/>
      <c r="GJ159" s="45"/>
      <c r="GK159" s="45"/>
      <c r="GL159" s="45"/>
      <c r="GM159" s="45"/>
      <c r="GN159" s="45"/>
      <c r="GO159" s="45"/>
      <c r="GP159" s="45"/>
      <c r="GQ159" s="45"/>
      <c r="GR159" s="45"/>
      <c r="GS159" s="45"/>
      <c r="GT159" s="45"/>
      <c r="GU159" s="45"/>
      <c r="GV159" s="45"/>
      <c r="GW159" s="45"/>
      <c r="GX159" s="45"/>
      <c r="GY159" s="45"/>
      <c r="GZ159" s="45"/>
      <c r="HA159" s="45"/>
      <c r="HB159" s="45"/>
      <c r="HC159" s="45"/>
      <c r="HD159" s="45"/>
      <c r="HE159" s="45"/>
      <c r="HF159" s="45"/>
      <c r="HG159" s="45"/>
      <c r="HH159" s="45"/>
      <c r="HI159" s="45"/>
      <c r="HJ159" s="45"/>
      <c r="HK159" s="45"/>
      <c r="HL159" s="45"/>
      <c r="HM159" s="45"/>
      <c r="HN159" s="45"/>
      <c r="HO159" s="45"/>
      <c r="HP159" s="45"/>
      <c r="HQ159" s="45"/>
      <c r="HR159" s="45"/>
      <c r="HS159" s="45"/>
      <c r="HT159" s="45"/>
      <c r="HU159" s="45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</row>
    <row r="160" s="6" customFormat="1" ht="126" customHeight="1" spans="1:254">
      <c r="A160" s="26">
        <v>158</v>
      </c>
      <c r="B160" s="36"/>
      <c r="C160" s="37" t="s">
        <v>329</v>
      </c>
      <c r="D160" s="37" t="str">
        <f>_xlfn.DISPIMG("ID_558A6265C3D848C8B8EA8F76EA7794EA",1)</f>
        <v>=DISPIMG("ID_558A6265C3D848C8B8EA8F76EA7794EA",1)</v>
      </c>
      <c r="E160" s="29" t="s">
        <v>330</v>
      </c>
      <c r="F160" s="27" t="s">
        <v>13</v>
      </c>
      <c r="G160" s="30">
        <v>1</v>
      </c>
      <c r="H160" s="31"/>
      <c r="I160" s="30">
        <f t="shared" si="2"/>
        <v>0</v>
      </c>
      <c r="J160" s="43"/>
      <c r="K160" s="44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  <c r="FV160" s="45"/>
      <c r="FW160" s="45"/>
      <c r="FX160" s="45"/>
      <c r="FY160" s="45"/>
      <c r="FZ160" s="45"/>
      <c r="GA160" s="45"/>
      <c r="GB160" s="45"/>
      <c r="GC160" s="45"/>
      <c r="GD160" s="45"/>
      <c r="GE160" s="45"/>
      <c r="GF160" s="45"/>
      <c r="GG160" s="45"/>
      <c r="GH160" s="45"/>
      <c r="GI160" s="45"/>
      <c r="GJ160" s="45"/>
      <c r="GK160" s="45"/>
      <c r="GL160" s="45"/>
      <c r="GM160" s="45"/>
      <c r="GN160" s="45"/>
      <c r="GO160" s="45"/>
      <c r="GP160" s="45"/>
      <c r="GQ160" s="45"/>
      <c r="GR160" s="45"/>
      <c r="GS160" s="45"/>
      <c r="GT160" s="45"/>
      <c r="GU160" s="45"/>
      <c r="GV160" s="45"/>
      <c r="GW160" s="45"/>
      <c r="GX160" s="45"/>
      <c r="GY160" s="45"/>
      <c r="GZ160" s="45"/>
      <c r="HA160" s="45"/>
      <c r="HB160" s="45"/>
      <c r="HC160" s="45"/>
      <c r="HD160" s="45"/>
      <c r="HE160" s="45"/>
      <c r="HF160" s="45"/>
      <c r="HG160" s="45"/>
      <c r="HH160" s="45"/>
      <c r="HI160" s="45"/>
      <c r="HJ160" s="45"/>
      <c r="HK160" s="45"/>
      <c r="HL160" s="45"/>
      <c r="HM160" s="45"/>
      <c r="HN160" s="45"/>
      <c r="HO160" s="45"/>
      <c r="HP160" s="45"/>
      <c r="HQ160" s="45"/>
      <c r="HR160" s="45"/>
      <c r="HS160" s="45"/>
      <c r="HT160" s="45"/>
      <c r="HU160" s="45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</row>
    <row r="161" s="6" customFormat="1" ht="105" customHeight="1" spans="1:254">
      <c r="A161" s="26">
        <v>159</v>
      </c>
      <c r="B161" s="36"/>
      <c r="C161" s="37" t="s">
        <v>331</v>
      </c>
      <c r="D161" s="37" t="str">
        <f>_xlfn.DISPIMG("ID_AA185BF89CF94A5E8D7ED4D374168416",1)</f>
        <v>=DISPIMG("ID_AA185BF89CF94A5E8D7ED4D374168416",1)</v>
      </c>
      <c r="E161" s="29" t="s">
        <v>332</v>
      </c>
      <c r="F161" s="27" t="s">
        <v>13</v>
      </c>
      <c r="G161" s="30">
        <v>115</v>
      </c>
      <c r="H161" s="31"/>
      <c r="I161" s="30">
        <f t="shared" si="2"/>
        <v>0</v>
      </c>
      <c r="J161" s="43"/>
      <c r="K161" s="44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  <c r="ER161" s="45"/>
      <c r="ES161" s="45"/>
      <c r="ET161" s="45"/>
      <c r="EU161" s="45"/>
      <c r="EV161" s="45"/>
      <c r="EW161" s="45"/>
      <c r="EX161" s="45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5"/>
      <c r="FM161" s="45"/>
      <c r="FN161" s="45"/>
      <c r="FO161" s="45"/>
      <c r="FP161" s="45"/>
      <c r="FQ161" s="45"/>
      <c r="FR161" s="45"/>
      <c r="FS161" s="45"/>
      <c r="FT161" s="45"/>
      <c r="FU161" s="45"/>
      <c r="FV161" s="45"/>
      <c r="FW161" s="45"/>
      <c r="FX161" s="45"/>
      <c r="FY161" s="45"/>
      <c r="FZ161" s="45"/>
      <c r="GA161" s="45"/>
      <c r="GB161" s="45"/>
      <c r="GC161" s="45"/>
      <c r="GD161" s="45"/>
      <c r="GE161" s="45"/>
      <c r="GF161" s="45"/>
      <c r="GG161" s="45"/>
      <c r="GH161" s="45"/>
      <c r="GI161" s="45"/>
      <c r="GJ161" s="45"/>
      <c r="GK161" s="45"/>
      <c r="GL161" s="45"/>
      <c r="GM161" s="45"/>
      <c r="GN161" s="45"/>
      <c r="GO161" s="45"/>
      <c r="GP161" s="45"/>
      <c r="GQ161" s="45"/>
      <c r="GR161" s="45"/>
      <c r="GS161" s="45"/>
      <c r="GT161" s="45"/>
      <c r="GU161" s="45"/>
      <c r="GV161" s="45"/>
      <c r="GW161" s="45"/>
      <c r="GX161" s="45"/>
      <c r="GY161" s="45"/>
      <c r="GZ161" s="45"/>
      <c r="HA161" s="45"/>
      <c r="HB161" s="45"/>
      <c r="HC161" s="45"/>
      <c r="HD161" s="45"/>
      <c r="HE161" s="45"/>
      <c r="HF161" s="45"/>
      <c r="HG161" s="45"/>
      <c r="HH161" s="45"/>
      <c r="HI161" s="45"/>
      <c r="HJ161" s="45"/>
      <c r="HK161" s="45"/>
      <c r="HL161" s="45"/>
      <c r="HM161" s="45"/>
      <c r="HN161" s="45"/>
      <c r="HO161" s="45"/>
      <c r="HP161" s="45"/>
      <c r="HQ161" s="45"/>
      <c r="HR161" s="45"/>
      <c r="HS161" s="45"/>
      <c r="HT161" s="45"/>
      <c r="HU161" s="45"/>
      <c r="HV161" s="45"/>
      <c r="HW161" s="45"/>
      <c r="HX161" s="45"/>
      <c r="HY161" s="45"/>
      <c r="HZ161" s="45"/>
      <c r="IA161" s="45"/>
      <c r="IB161" s="45"/>
      <c r="IC161" s="45"/>
      <c r="ID161" s="45"/>
      <c r="IE161" s="45"/>
      <c r="IF161" s="45"/>
      <c r="IG161" s="45"/>
      <c r="IH161" s="45"/>
      <c r="II161" s="45"/>
      <c r="IJ161" s="45"/>
      <c r="IK161" s="45"/>
      <c r="IL161" s="45"/>
      <c r="IM161" s="45"/>
      <c r="IN161" s="45"/>
      <c r="IO161" s="45"/>
      <c r="IP161" s="45"/>
      <c r="IQ161" s="45"/>
      <c r="IR161" s="45"/>
      <c r="IS161" s="45"/>
      <c r="IT161" s="45"/>
    </row>
    <row r="162" s="6" customFormat="1" ht="105" customHeight="1" spans="1:254">
      <c r="A162" s="26">
        <v>160</v>
      </c>
      <c r="B162" s="36"/>
      <c r="C162" s="37" t="s">
        <v>333</v>
      </c>
      <c r="D162" s="37" t="str">
        <f>_xlfn.DISPIMG("ID_FE8303628CD44B8EB9F797FBC6AA6CA5",1)</f>
        <v>=DISPIMG("ID_FE8303628CD44B8EB9F797FBC6AA6CA5",1)</v>
      </c>
      <c r="E162" s="29" t="s">
        <v>334</v>
      </c>
      <c r="F162" s="27" t="s">
        <v>13</v>
      </c>
      <c r="G162" s="30">
        <v>6</v>
      </c>
      <c r="H162" s="31"/>
      <c r="I162" s="30">
        <f t="shared" si="2"/>
        <v>0</v>
      </c>
      <c r="J162" s="43"/>
      <c r="K162" s="44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5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5"/>
      <c r="HY162" s="45"/>
      <c r="HZ162" s="45"/>
      <c r="IA162" s="45"/>
      <c r="IB162" s="45"/>
      <c r="IC162" s="45"/>
      <c r="ID162" s="45"/>
      <c r="IE162" s="45"/>
      <c r="IF162" s="45"/>
      <c r="IG162" s="45"/>
      <c r="IH162" s="45"/>
      <c r="II162" s="45"/>
      <c r="IJ162" s="45"/>
      <c r="IK162" s="45"/>
      <c r="IL162" s="45"/>
      <c r="IM162" s="45"/>
      <c r="IN162" s="45"/>
      <c r="IO162" s="45"/>
      <c r="IP162" s="45"/>
      <c r="IQ162" s="45"/>
      <c r="IR162" s="45"/>
      <c r="IS162" s="45"/>
      <c r="IT162" s="45"/>
    </row>
    <row r="163" s="6" customFormat="1" ht="150" customHeight="1" spans="1:254">
      <c r="A163" s="26">
        <v>161</v>
      </c>
      <c r="B163" s="36"/>
      <c r="C163" s="37" t="s">
        <v>335</v>
      </c>
      <c r="D163" s="37" t="str">
        <f>_xlfn.DISPIMG("ID_DB3DDFDFE560464781BE133E4D2F1085",1)</f>
        <v>=DISPIMG("ID_DB3DDFDFE560464781BE133E4D2F1085",1)</v>
      </c>
      <c r="E163" s="29" t="s">
        <v>336</v>
      </c>
      <c r="F163" s="27" t="s">
        <v>13</v>
      </c>
      <c r="G163" s="30">
        <v>5</v>
      </c>
      <c r="H163" s="31"/>
      <c r="I163" s="30">
        <f t="shared" si="2"/>
        <v>0</v>
      </c>
      <c r="J163" s="43"/>
      <c r="K163" s="44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5"/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45"/>
      <c r="FN163" s="45"/>
      <c r="FO163" s="45"/>
      <c r="FP163" s="45"/>
      <c r="FQ163" s="45"/>
      <c r="FR163" s="45"/>
      <c r="FS163" s="45"/>
      <c r="FT163" s="45"/>
      <c r="FU163" s="45"/>
      <c r="FV163" s="45"/>
      <c r="FW163" s="45"/>
      <c r="FX163" s="45"/>
      <c r="FY163" s="45"/>
      <c r="FZ163" s="45"/>
      <c r="GA163" s="45"/>
      <c r="GB163" s="45"/>
      <c r="GC163" s="45"/>
      <c r="GD163" s="45"/>
      <c r="GE163" s="45"/>
      <c r="GF163" s="45"/>
      <c r="GG163" s="45"/>
      <c r="GH163" s="45"/>
      <c r="GI163" s="45"/>
      <c r="GJ163" s="45"/>
      <c r="GK163" s="45"/>
      <c r="GL163" s="45"/>
      <c r="GM163" s="45"/>
      <c r="GN163" s="45"/>
      <c r="GO163" s="45"/>
      <c r="GP163" s="45"/>
      <c r="GQ163" s="45"/>
      <c r="GR163" s="45"/>
      <c r="GS163" s="45"/>
      <c r="GT163" s="45"/>
      <c r="GU163" s="45"/>
      <c r="GV163" s="45"/>
      <c r="GW163" s="45"/>
      <c r="GX163" s="45"/>
      <c r="GY163" s="45"/>
      <c r="GZ163" s="45"/>
      <c r="HA163" s="45"/>
      <c r="HB163" s="45"/>
      <c r="HC163" s="45"/>
      <c r="HD163" s="45"/>
      <c r="HE163" s="45"/>
      <c r="HF163" s="45"/>
      <c r="HG163" s="45"/>
      <c r="HH163" s="45"/>
      <c r="HI163" s="45"/>
      <c r="HJ163" s="45"/>
      <c r="HK163" s="45"/>
      <c r="HL163" s="45"/>
      <c r="HM163" s="45"/>
      <c r="HN163" s="45"/>
      <c r="HO163" s="45"/>
      <c r="HP163" s="45"/>
      <c r="HQ163" s="45"/>
      <c r="HR163" s="45"/>
      <c r="HS163" s="45"/>
      <c r="HT163" s="45"/>
      <c r="HU163" s="45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</row>
    <row r="164" s="6" customFormat="1" ht="150" customHeight="1" spans="1:254">
      <c r="A164" s="26">
        <v>162</v>
      </c>
      <c r="B164" s="36"/>
      <c r="C164" s="37" t="s">
        <v>337</v>
      </c>
      <c r="D164" s="37" t="str">
        <f>_xlfn.DISPIMG("ID_DEA9F64B002B4CEE9B7C648BFC9F91E0",1)</f>
        <v>=DISPIMG("ID_DEA9F64B002B4CEE9B7C648BFC9F91E0",1)</v>
      </c>
      <c r="E164" s="29" t="s">
        <v>338</v>
      </c>
      <c r="F164" s="27" t="s">
        <v>13</v>
      </c>
      <c r="G164" s="30">
        <v>11</v>
      </c>
      <c r="H164" s="31"/>
      <c r="I164" s="30">
        <f t="shared" si="2"/>
        <v>0</v>
      </c>
      <c r="J164" s="43"/>
      <c r="K164" s="44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45"/>
      <c r="FN164" s="45"/>
      <c r="FO164" s="45"/>
      <c r="FP164" s="45"/>
      <c r="FQ164" s="45"/>
      <c r="FR164" s="45"/>
      <c r="FS164" s="45"/>
      <c r="FT164" s="45"/>
      <c r="FU164" s="45"/>
      <c r="FV164" s="45"/>
      <c r="FW164" s="45"/>
      <c r="FX164" s="45"/>
      <c r="FY164" s="45"/>
      <c r="FZ164" s="45"/>
      <c r="GA164" s="45"/>
      <c r="GB164" s="45"/>
      <c r="GC164" s="45"/>
      <c r="GD164" s="45"/>
      <c r="GE164" s="45"/>
      <c r="GF164" s="45"/>
      <c r="GG164" s="45"/>
      <c r="GH164" s="45"/>
      <c r="GI164" s="45"/>
      <c r="GJ164" s="45"/>
      <c r="GK164" s="45"/>
      <c r="GL164" s="45"/>
      <c r="GM164" s="45"/>
      <c r="GN164" s="45"/>
      <c r="GO164" s="45"/>
      <c r="GP164" s="45"/>
      <c r="GQ164" s="45"/>
      <c r="GR164" s="45"/>
      <c r="GS164" s="45"/>
      <c r="GT164" s="45"/>
      <c r="GU164" s="45"/>
      <c r="GV164" s="45"/>
      <c r="GW164" s="45"/>
      <c r="GX164" s="45"/>
      <c r="GY164" s="45"/>
      <c r="GZ164" s="45"/>
      <c r="HA164" s="45"/>
      <c r="HB164" s="45"/>
      <c r="HC164" s="45"/>
      <c r="HD164" s="45"/>
      <c r="HE164" s="45"/>
      <c r="HF164" s="45"/>
      <c r="HG164" s="45"/>
      <c r="HH164" s="45"/>
      <c r="HI164" s="45"/>
      <c r="HJ164" s="45"/>
      <c r="HK164" s="45"/>
      <c r="HL164" s="45"/>
      <c r="HM164" s="45"/>
      <c r="HN164" s="45"/>
      <c r="HO164" s="45"/>
      <c r="HP164" s="45"/>
      <c r="HQ164" s="45"/>
      <c r="HR164" s="45"/>
      <c r="HS164" s="45"/>
      <c r="HT164" s="45"/>
      <c r="HU164" s="45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</row>
    <row r="165" s="6" customFormat="1" ht="150" customHeight="1" spans="1:254">
      <c r="A165" s="26">
        <v>163</v>
      </c>
      <c r="B165" s="36"/>
      <c r="C165" s="37" t="s">
        <v>339</v>
      </c>
      <c r="D165" s="37" t="str">
        <f>_xlfn.DISPIMG("ID_5F9D9FAE73D640818BFFC302BD37F9F6",1)</f>
        <v>=DISPIMG("ID_5F9D9FAE73D640818BFFC302BD37F9F6",1)</v>
      </c>
      <c r="E165" s="29" t="s">
        <v>340</v>
      </c>
      <c r="F165" s="27" t="s">
        <v>13</v>
      </c>
      <c r="G165" s="30">
        <v>3</v>
      </c>
      <c r="H165" s="31"/>
      <c r="I165" s="30">
        <f t="shared" si="2"/>
        <v>0</v>
      </c>
      <c r="J165" s="43"/>
      <c r="K165" s="44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  <c r="ER165" s="45"/>
      <c r="ES165" s="45"/>
      <c r="ET165" s="45"/>
      <c r="EU165" s="45"/>
      <c r="EV165" s="45"/>
      <c r="EW165" s="45"/>
      <c r="EX165" s="45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5"/>
      <c r="FM165" s="45"/>
      <c r="FN165" s="45"/>
      <c r="FO165" s="45"/>
      <c r="FP165" s="45"/>
      <c r="FQ165" s="45"/>
      <c r="FR165" s="45"/>
      <c r="FS165" s="45"/>
      <c r="FT165" s="45"/>
      <c r="FU165" s="45"/>
      <c r="FV165" s="45"/>
      <c r="FW165" s="45"/>
      <c r="FX165" s="45"/>
      <c r="FY165" s="45"/>
      <c r="FZ165" s="45"/>
      <c r="GA165" s="45"/>
      <c r="GB165" s="45"/>
      <c r="GC165" s="45"/>
      <c r="GD165" s="45"/>
      <c r="GE165" s="45"/>
      <c r="GF165" s="45"/>
      <c r="GG165" s="45"/>
      <c r="GH165" s="45"/>
      <c r="GI165" s="45"/>
      <c r="GJ165" s="45"/>
      <c r="GK165" s="45"/>
      <c r="GL165" s="45"/>
      <c r="GM165" s="45"/>
      <c r="GN165" s="45"/>
      <c r="GO165" s="45"/>
      <c r="GP165" s="45"/>
      <c r="GQ165" s="45"/>
      <c r="GR165" s="45"/>
      <c r="GS165" s="45"/>
      <c r="GT165" s="45"/>
      <c r="GU165" s="45"/>
      <c r="GV165" s="45"/>
      <c r="GW165" s="45"/>
      <c r="GX165" s="45"/>
      <c r="GY165" s="45"/>
      <c r="GZ165" s="45"/>
      <c r="HA165" s="45"/>
      <c r="HB165" s="45"/>
      <c r="HC165" s="45"/>
      <c r="HD165" s="45"/>
      <c r="HE165" s="45"/>
      <c r="HF165" s="45"/>
      <c r="HG165" s="45"/>
      <c r="HH165" s="45"/>
      <c r="HI165" s="45"/>
      <c r="HJ165" s="45"/>
      <c r="HK165" s="45"/>
      <c r="HL165" s="45"/>
      <c r="HM165" s="45"/>
      <c r="HN165" s="45"/>
      <c r="HO165" s="45"/>
      <c r="HP165" s="45"/>
      <c r="HQ165" s="45"/>
      <c r="HR165" s="45"/>
      <c r="HS165" s="45"/>
      <c r="HT165" s="45"/>
      <c r="HU165" s="45"/>
      <c r="HV165" s="45"/>
      <c r="HW165" s="45"/>
      <c r="HX165" s="45"/>
      <c r="HY165" s="45"/>
      <c r="HZ165" s="45"/>
      <c r="IA165" s="45"/>
      <c r="IB165" s="45"/>
      <c r="IC165" s="45"/>
      <c r="ID165" s="45"/>
      <c r="IE165" s="45"/>
      <c r="IF165" s="45"/>
      <c r="IG165" s="45"/>
      <c r="IH165" s="45"/>
      <c r="II165" s="45"/>
      <c r="IJ165" s="45"/>
      <c r="IK165" s="45"/>
      <c r="IL165" s="45"/>
      <c r="IM165" s="45"/>
      <c r="IN165" s="45"/>
      <c r="IO165" s="45"/>
      <c r="IP165" s="45"/>
      <c r="IQ165" s="45"/>
      <c r="IR165" s="45"/>
      <c r="IS165" s="45"/>
      <c r="IT165" s="45"/>
    </row>
    <row r="166" s="6" customFormat="1" ht="150" customHeight="1" spans="1:254">
      <c r="A166" s="26">
        <v>164</v>
      </c>
      <c r="B166" s="36"/>
      <c r="C166" s="37" t="s">
        <v>341</v>
      </c>
      <c r="D166" s="37" t="str">
        <f>_xlfn.DISPIMG("ID_DAE276335C0244739113EA7F03B879FD",1)</f>
        <v>=DISPIMG("ID_DAE276335C0244739113EA7F03B879FD",1)</v>
      </c>
      <c r="E166" s="29" t="s">
        <v>342</v>
      </c>
      <c r="F166" s="27" t="s">
        <v>13</v>
      </c>
      <c r="G166" s="30">
        <v>1</v>
      </c>
      <c r="H166" s="31"/>
      <c r="I166" s="30">
        <f t="shared" si="2"/>
        <v>0</v>
      </c>
      <c r="J166" s="43"/>
      <c r="K166" s="44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5"/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45"/>
      <c r="FN166" s="45"/>
      <c r="FO166" s="45"/>
      <c r="FP166" s="45"/>
      <c r="FQ166" s="45"/>
      <c r="FR166" s="45"/>
      <c r="FS166" s="45"/>
      <c r="FT166" s="45"/>
      <c r="FU166" s="45"/>
      <c r="FV166" s="45"/>
      <c r="FW166" s="45"/>
      <c r="FX166" s="45"/>
      <c r="FY166" s="45"/>
      <c r="FZ166" s="45"/>
      <c r="GA166" s="45"/>
      <c r="GB166" s="45"/>
      <c r="GC166" s="45"/>
      <c r="GD166" s="45"/>
      <c r="GE166" s="45"/>
      <c r="GF166" s="45"/>
      <c r="GG166" s="45"/>
      <c r="GH166" s="45"/>
      <c r="GI166" s="45"/>
      <c r="GJ166" s="45"/>
      <c r="GK166" s="45"/>
      <c r="GL166" s="45"/>
      <c r="GM166" s="45"/>
      <c r="GN166" s="45"/>
      <c r="GO166" s="45"/>
      <c r="GP166" s="45"/>
      <c r="GQ166" s="45"/>
      <c r="GR166" s="45"/>
      <c r="GS166" s="45"/>
      <c r="GT166" s="45"/>
      <c r="GU166" s="45"/>
      <c r="GV166" s="45"/>
      <c r="GW166" s="45"/>
      <c r="GX166" s="45"/>
      <c r="GY166" s="45"/>
      <c r="GZ166" s="45"/>
      <c r="HA166" s="45"/>
      <c r="HB166" s="45"/>
      <c r="HC166" s="45"/>
      <c r="HD166" s="45"/>
      <c r="HE166" s="45"/>
      <c r="HF166" s="45"/>
      <c r="HG166" s="45"/>
      <c r="HH166" s="45"/>
      <c r="HI166" s="45"/>
      <c r="HJ166" s="45"/>
      <c r="HK166" s="45"/>
      <c r="HL166" s="45"/>
      <c r="HM166" s="45"/>
      <c r="HN166" s="45"/>
      <c r="HO166" s="45"/>
      <c r="HP166" s="45"/>
      <c r="HQ166" s="45"/>
      <c r="HR166" s="45"/>
      <c r="HS166" s="45"/>
      <c r="HT166" s="45"/>
      <c r="HU166" s="45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</row>
    <row r="167" s="6" customFormat="1" ht="150" customHeight="1" spans="1:254">
      <c r="A167" s="26">
        <v>165</v>
      </c>
      <c r="B167" s="36"/>
      <c r="C167" s="37" t="s">
        <v>343</v>
      </c>
      <c r="D167" s="37" t="str">
        <f>_xlfn.DISPIMG("ID_760B97CA2772468B94C6F29D921023E7",1)</f>
        <v>=DISPIMG("ID_760B97CA2772468B94C6F29D921023E7",1)</v>
      </c>
      <c r="E167" s="29" t="s">
        <v>344</v>
      </c>
      <c r="F167" s="27" t="s">
        <v>13</v>
      </c>
      <c r="G167" s="30">
        <v>1</v>
      </c>
      <c r="H167" s="31"/>
      <c r="I167" s="30">
        <f t="shared" si="2"/>
        <v>0</v>
      </c>
      <c r="J167" s="43"/>
      <c r="K167" s="44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45"/>
      <c r="FN167" s="45"/>
      <c r="FO167" s="45"/>
      <c r="FP167" s="45"/>
      <c r="FQ167" s="45"/>
      <c r="FR167" s="45"/>
      <c r="FS167" s="45"/>
      <c r="FT167" s="45"/>
      <c r="FU167" s="45"/>
      <c r="FV167" s="45"/>
      <c r="FW167" s="45"/>
      <c r="FX167" s="45"/>
      <c r="FY167" s="45"/>
      <c r="FZ167" s="45"/>
      <c r="GA167" s="45"/>
      <c r="GB167" s="45"/>
      <c r="GC167" s="45"/>
      <c r="GD167" s="45"/>
      <c r="GE167" s="45"/>
      <c r="GF167" s="45"/>
      <c r="GG167" s="45"/>
      <c r="GH167" s="45"/>
      <c r="GI167" s="45"/>
      <c r="GJ167" s="45"/>
      <c r="GK167" s="45"/>
      <c r="GL167" s="45"/>
      <c r="GM167" s="45"/>
      <c r="GN167" s="45"/>
      <c r="GO167" s="45"/>
      <c r="GP167" s="45"/>
      <c r="GQ167" s="45"/>
      <c r="GR167" s="45"/>
      <c r="GS167" s="45"/>
      <c r="GT167" s="45"/>
      <c r="GU167" s="45"/>
      <c r="GV167" s="45"/>
      <c r="GW167" s="45"/>
      <c r="GX167" s="45"/>
      <c r="GY167" s="45"/>
      <c r="GZ167" s="45"/>
      <c r="HA167" s="45"/>
      <c r="HB167" s="45"/>
      <c r="HC167" s="45"/>
      <c r="HD167" s="45"/>
      <c r="HE167" s="45"/>
      <c r="HF167" s="45"/>
      <c r="HG167" s="45"/>
      <c r="HH167" s="45"/>
      <c r="HI167" s="45"/>
      <c r="HJ167" s="45"/>
      <c r="HK167" s="45"/>
      <c r="HL167" s="45"/>
      <c r="HM167" s="45"/>
      <c r="HN167" s="45"/>
      <c r="HO167" s="45"/>
      <c r="HP167" s="45"/>
      <c r="HQ167" s="45"/>
      <c r="HR167" s="45"/>
      <c r="HS167" s="45"/>
      <c r="HT167" s="45"/>
      <c r="HU167" s="45"/>
      <c r="HV167" s="45"/>
      <c r="HW167" s="45"/>
      <c r="HX167" s="45"/>
      <c r="HY167" s="45"/>
      <c r="HZ167" s="45"/>
      <c r="IA167" s="45"/>
      <c r="IB167" s="45"/>
      <c r="IC167" s="45"/>
      <c r="ID167" s="45"/>
      <c r="IE167" s="45"/>
      <c r="IF167" s="45"/>
      <c r="IG167" s="45"/>
      <c r="IH167" s="45"/>
      <c r="II167" s="45"/>
      <c r="IJ167" s="45"/>
      <c r="IK167" s="45"/>
      <c r="IL167" s="45"/>
      <c r="IM167" s="45"/>
      <c r="IN167" s="45"/>
      <c r="IO167" s="45"/>
      <c r="IP167" s="45"/>
      <c r="IQ167" s="45"/>
      <c r="IR167" s="45"/>
      <c r="IS167" s="45"/>
      <c r="IT167" s="45"/>
    </row>
    <row r="168" s="6" customFormat="1" ht="142" customHeight="1" spans="1:254">
      <c r="A168" s="26">
        <v>166</v>
      </c>
      <c r="B168" s="36"/>
      <c r="C168" s="37" t="s">
        <v>345</v>
      </c>
      <c r="D168" s="37" t="str">
        <f>_xlfn.DISPIMG("ID_9AB765596ADA4418A712795487051573",1)</f>
        <v>=DISPIMG("ID_9AB765596ADA4418A712795487051573",1)</v>
      </c>
      <c r="E168" s="29" t="s">
        <v>346</v>
      </c>
      <c r="F168" s="27" t="s">
        <v>13</v>
      </c>
      <c r="G168" s="30">
        <v>14</v>
      </c>
      <c r="H168" s="31"/>
      <c r="I168" s="30">
        <f t="shared" si="2"/>
        <v>0</v>
      </c>
      <c r="J168" s="43"/>
      <c r="K168" s="44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45"/>
      <c r="FN168" s="45"/>
      <c r="FO168" s="45"/>
      <c r="FP168" s="45"/>
      <c r="FQ168" s="45"/>
      <c r="FR168" s="45"/>
      <c r="FS168" s="45"/>
      <c r="FT168" s="45"/>
      <c r="FU168" s="45"/>
      <c r="FV168" s="45"/>
      <c r="FW168" s="45"/>
      <c r="FX168" s="45"/>
      <c r="FY168" s="45"/>
      <c r="FZ168" s="45"/>
      <c r="GA168" s="45"/>
      <c r="GB168" s="45"/>
      <c r="GC168" s="45"/>
      <c r="GD168" s="45"/>
      <c r="GE168" s="45"/>
      <c r="GF168" s="45"/>
      <c r="GG168" s="45"/>
      <c r="GH168" s="45"/>
      <c r="GI168" s="45"/>
      <c r="GJ168" s="45"/>
      <c r="GK168" s="45"/>
      <c r="GL168" s="45"/>
      <c r="GM168" s="45"/>
      <c r="GN168" s="45"/>
      <c r="GO168" s="45"/>
      <c r="GP168" s="45"/>
      <c r="GQ168" s="45"/>
      <c r="GR168" s="45"/>
      <c r="GS168" s="45"/>
      <c r="GT168" s="45"/>
      <c r="GU168" s="45"/>
      <c r="GV168" s="45"/>
      <c r="GW168" s="45"/>
      <c r="GX168" s="45"/>
      <c r="GY168" s="45"/>
      <c r="GZ168" s="45"/>
      <c r="HA168" s="45"/>
      <c r="HB168" s="45"/>
      <c r="HC168" s="45"/>
      <c r="HD168" s="45"/>
      <c r="HE168" s="45"/>
      <c r="HF168" s="45"/>
      <c r="HG168" s="45"/>
      <c r="HH168" s="45"/>
      <c r="HI168" s="45"/>
      <c r="HJ168" s="45"/>
      <c r="HK168" s="45"/>
      <c r="HL168" s="45"/>
      <c r="HM168" s="45"/>
      <c r="HN168" s="45"/>
      <c r="HO168" s="45"/>
      <c r="HP168" s="45"/>
      <c r="HQ168" s="45"/>
      <c r="HR168" s="45"/>
      <c r="HS168" s="45"/>
      <c r="HT168" s="45"/>
      <c r="HU168" s="45"/>
      <c r="HV168" s="45"/>
      <c r="HW168" s="45"/>
      <c r="HX168" s="45"/>
      <c r="HY168" s="45"/>
      <c r="HZ168" s="45"/>
      <c r="IA168" s="45"/>
      <c r="IB168" s="45"/>
      <c r="IC168" s="45"/>
      <c r="ID168" s="45"/>
      <c r="IE168" s="45"/>
      <c r="IF168" s="45"/>
      <c r="IG168" s="45"/>
      <c r="IH168" s="45"/>
      <c r="II168" s="45"/>
      <c r="IJ168" s="45"/>
      <c r="IK168" s="45"/>
      <c r="IL168" s="45"/>
      <c r="IM168" s="45"/>
      <c r="IN168" s="45"/>
      <c r="IO168" s="45"/>
      <c r="IP168" s="45"/>
      <c r="IQ168" s="45"/>
      <c r="IR168" s="45"/>
      <c r="IS168" s="45"/>
      <c r="IT168" s="45"/>
    </row>
    <row r="169" s="3" customFormat="1" ht="131" customHeight="1" spans="1:254">
      <c r="A169" s="26">
        <v>167</v>
      </c>
      <c r="B169" s="27"/>
      <c r="C169" s="28" t="s">
        <v>347</v>
      </c>
      <c r="D169" s="28" t="str">
        <f>_xlfn.DISPIMG("ID_86A66FD19D8043AAB0B0436B5B9712AC",1)</f>
        <v>=DISPIMG("ID_86A66FD19D8043AAB0B0436B5B9712AC",1)</v>
      </c>
      <c r="E169" s="29" t="s">
        <v>348</v>
      </c>
      <c r="F169" s="27" t="s">
        <v>13</v>
      </c>
      <c r="G169" s="30">
        <v>10</v>
      </c>
      <c r="H169" s="31"/>
      <c r="I169" s="30">
        <f t="shared" si="2"/>
        <v>0</v>
      </c>
      <c r="J169" s="32"/>
      <c r="K169" s="33"/>
    </row>
    <row r="170" s="3" customFormat="1" ht="131" customHeight="1" spans="1:254">
      <c r="A170" s="26">
        <v>168</v>
      </c>
      <c r="B170" s="27"/>
      <c r="C170" s="28" t="s">
        <v>349</v>
      </c>
      <c r="D170" s="28" t="str">
        <f>_xlfn.DISPIMG("ID_FC8F220166D149C2AA44A3AC6212DFE5",1)</f>
        <v>=DISPIMG("ID_FC8F220166D149C2AA44A3AC6212DFE5",1)</v>
      </c>
      <c r="E170" s="29" t="s">
        <v>350</v>
      </c>
      <c r="F170" s="27" t="s">
        <v>13</v>
      </c>
      <c r="G170" s="30">
        <v>1</v>
      </c>
      <c r="H170" s="31"/>
      <c r="I170" s="30">
        <f t="shared" si="2"/>
        <v>0</v>
      </c>
      <c r="J170" s="32"/>
      <c r="K170" s="33"/>
    </row>
    <row r="171" s="5" customFormat="1" ht="108" customHeight="1" spans="1:254">
      <c r="A171" s="26">
        <v>169</v>
      </c>
      <c r="B171" s="36"/>
      <c r="C171" s="37" t="s">
        <v>351</v>
      </c>
      <c r="D171" s="37" t="str">
        <f>_xlfn.DISPIMG("ID_C3255CD7BAF443DC930A10D723B7B0B5",1)</f>
        <v>=DISPIMG("ID_C3255CD7BAF443DC930A10D723B7B0B5",1)</v>
      </c>
      <c r="E171" s="29" t="s">
        <v>352</v>
      </c>
      <c r="F171" s="27" t="s">
        <v>262</v>
      </c>
      <c r="G171" s="30">
        <v>8</v>
      </c>
      <c r="H171" s="31"/>
      <c r="I171" s="30">
        <f t="shared" si="2"/>
        <v>0</v>
      </c>
      <c r="J171" s="38"/>
      <c r="K171" s="47"/>
      <c r="IQ171" s="39"/>
      <c r="IR171" s="39"/>
    </row>
    <row r="172" s="6" customFormat="1" ht="108" customHeight="1" spans="1:254">
      <c r="A172" s="26">
        <v>170</v>
      </c>
      <c r="B172" s="36"/>
      <c r="C172" s="37" t="s">
        <v>353</v>
      </c>
      <c r="D172" s="37" t="str">
        <f>_xlfn.DISPIMG("ID_A0BD4DD43A87499B81DBB68727BEB137",1)</f>
        <v>=DISPIMG("ID_A0BD4DD43A87499B81DBB68727BEB137",1)</v>
      </c>
      <c r="E172" s="29" t="s">
        <v>354</v>
      </c>
      <c r="F172" s="27" t="s">
        <v>262</v>
      </c>
      <c r="G172" s="30">
        <v>3</v>
      </c>
      <c r="H172" s="31"/>
      <c r="I172" s="30">
        <f t="shared" si="2"/>
        <v>0</v>
      </c>
      <c r="J172" s="43"/>
      <c r="K172" s="47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5"/>
      <c r="EY172" s="45"/>
      <c r="EZ172" s="45"/>
      <c r="FA172" s="45"/>
      <c r="FB172" s="45"/>
      <c r="FC172" s="45"/>
      <c r="FD172" s="45"/>
      <c r="FE172" s="45"/>
      <c r="FF172" s="45"/>
      <c r="FG172" s="45"/>
      <c r="FH172" s="45"/>
      <c r="FI172" s="45"/>
      <c r="FJ172" s="45"/>
      <c r="FK172" s="45"/>
      <c r="FL172" s="45"/>
      <c r="FM172" s="45"/>
      <c r="FN172" s="45"/>
      <c r="FO172" s="45"/>
      <c r="FP172" s="45"/>
      <c r="FQ172" s="45"/>
      <c r="FR172" s="45"/>
      <c r="FS172" s="45"/>
      <c r="FT172" s="45"/>
      <c r="FU172" s="45"/>
      <c r="FV172" s="45"/>
      <c r="FW172" s="45"/>
      <c r="FX172" s="45"/>
      <c r="FY172" s="45"/>
      <c r="FZ172" s="45"/>
      <c r="GA172" s="45"/>
      <c r="GB172" s="45"/>
      <c r="GC172" s="45"/>
      <c r="GD172" s="45"/>
      <c r="GE172" s="45"/>
      <c r="GF172" s="45"/>
      <c r="GG172" s="45"/>
      <c r="GH172" s="45"/>
      <c r="GI172" s="45"/>
      <c r="GJ172" s="45"/>
      <c r="GK172" s="45"/>
      <c r="GL172" s="45"/>
      <c r="GM172" s="45"/>
      <c r="GN172" s="45"/>
      <c r="GO172" s="45"/>
      <c r="GP172" s="45"/>
      <c r="GQ172" s="45"/>
      <c r="GR172" s="45"/>
      <c r="GS172" s="45"/>
      <c r="GT172" s="45"/>
      <c r="GU172" s="45"/>
      <c r="GV172" s="45"/>
      <c r="GW172" s="45"/>
      <c r="GX172" s="45"/>
      <c r="GY172" s="45"/>
      <c r="GZ172" s="45"/>
      <c r="HA172" s="45"/>
      <c r="HB172" s="45"/>
      <c r="HC172" s="45"/>
      <c r="HD172" s="45"/>
      <c r="HE172" s="45"/>
      <c r="HF172" s="45"/>
      <c r="HG172" s="45"/>
      <c r="HH172" s="45"/>
      <c r="HI172" s="45"/>
      <c r="HJ172" s="45"/>
      <c r="HK172" s="45"/>
      <c r="HL172" s="45"/>
      <c r="HM172" s="45"/>
      <c r="HN172" s="45"/>
      <c r="HO172" s="45"/>
      <c r="HP172" s="45"/>
      <c r="HQ172" s="45"/>
      <c r="HR172" s="45"/>
      <c r="HS172" s="45"/>
      <c r="HT172" s="45"/>
      <c r="HU172" s="45"/>
      <c r="HV172" s="45"/>
      <c r="HW172" s="45"/>
      <c r="HX172" s="45"/>
      <c r="HY172" s="45"/>
      <c r="HZ172" s="45"/>
      <c r="IA172" s="45"/>
      <c r="IB172" s="45"/>
      <c r="IC172" s="45"/>
      <c r="ID172" s="45"/>
      <c r="IE172" s="45"/>
      <c r="IF172" s="45"/>
      <c r="IG172" s="45"/>
      <c r="IH172" s="45"/>
      <c r="II172" s="45"/>
      <c r="IJ172" s="45"/>
      <c r="IK172" s="45"/>
      <c r="IL172" s="45"/>
      <c r="IM172" s="45"/>
      <c r="IN172" s="45"/>
      <c r="IO172" s="45"/>
      <c r="IP172" s="45"/>
      <c r="IQ172" s="45"/>
      <c r="IR172" s="45"/>
      <c r="IS172" s="45"/>
      <c r="IT172" s="45"/>
    </row>
    <row r="173" s="6" customFormat="1" ht="108" customHeight="1" spans="1:254">
      <c r="A173" s="26">
        <v>171</v>
      </c>
      <c r="B173" s="36"/>
      <c r="C173" s="37" t="s">
        <v>355</v>
      </c>
      <c r="D173" s="37" t="str">
        <f>_xlfn.DISPIMG("ID_F9A18EDEA8EE4DEAB3A3689B97B83728",1)</f>
        <v>=DISPIMG("ID_F9A18EDEA8EE4DEAB3A3689B97B83728",1)</v>
      </c>
      <c r="E173" s="29" t="s">
        <v>356</v>
      </c>
      <c r="F173" s="27" t="s">
        <v>262</v>
      </c>
      <c r="G173" s="30">
        <v>2</v>
      </c>
      <c r="H173" s="31"/>
      <c r="I173" s="30">
        <f t="shared" si="2"/>
        <v>0</v>
      </c>
      <c r="J173" s="43"/>
      <c r="K173" s="44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5"/>
      <c r="EY173" s="45"/>
      <c r="EZ173" s="45"/>
      <c r="FA173" s="45"/>
      <c r="FB173" s="45"/>
      <c r="FC173" s="45"/>
      <c r="FD173" s="45"/>
      <c r="FE173" s="45"/>
      <c r="FF173" s="45"/>
      <c r="FG173" s="45"/>
      <c r="FH173" s="45"/>
      <c r="FI173" s="45"/>
      <c r="FJ173" s="45"/>
      <c r="FK173" s="45"/>
      <c r="FL173" s="45"/>
      <c r="FM173" s="45"/>
      <c r="FN173" s="45"/>
      <c r="FO173" s="45"/>
      <c r="FP173" s="45"/>
      <c r="FQ173" s="45"/>
      <c r="FR173" s="45"/>
      <c r="FS173" s="45"/>
      <c r="FT173" s="45"/>
      <c r="FU173" s="45"/>
      <c r="FV173" s="45"/>
      <c r="FW173" s="45"/>
      <c r="FX173" s="45"/>
      <c r="FY173" s="45"/>
      <c r="FZ173" s="45"/>
      <c r="GA173" s="45"/>
      <c r="GB173" s="45"/>
      <c r="GC173" s="45"/>
      <c r="GD173" s="45"/>
      <c r="GE173" s="45"/>
      <c r="GF173" s="45"/>
      <c r="GG173" s="45"/>
      <c r="GH173" s="45"/>
      <c r="GI173" s="45"/>
      <c r="GJ173" s="45"/>
      <c r="GK173" s="45"/>
      <c r="GL173" s="45"/>
      <c r="GM173" s="45"/>
      <c r="GN173" s="45"/>
      <c r="GO173" s="45"/>
      <c r="GP173" s="45"/>
      <c r="GQ173" s="45"/>
      <c r="GR173" s="45"/>
      <c r="GS173" s="45"/>
      <c r="GT173" s="45"/>
      <c r="GU173" s="45"/>
      <c r="GV173" s="45"/>
      <c r="GW173" s="45"/>
      <c r="GX173" s="45"/>
      <c r="GY173" s="45"/>
      <c r="GZ173" s="45"/>
      <c r="HA173" s="45"/>
      <c r="HB173" s="45"/>
      <c r="HC173" s="45"/>
      <c r="HD173" s="45"/>
      <c r="HE173" s="45"/>
      <c r="HF173" s="45"/>
      <c r="HG173" s="45"/>
      <c r="HH173" s="45"/>
      <c r="HI173" s="45"/>
      <c r="HJ173" s="45"/>
      <c r="HK173" s="45"/>
      <c r="HL173" s="45"/>
      <c r="HM173" s="45"/>
      <c r="HN173" s="45"/>
      <c r="HO173" s="45"/>
      <c r="HP173" s="45"/>
      <c r="HQ173" s="45"/>
      <c r="HR173" s="45"/>
      <c r="HS173" s="45"/>
      <c r="HT173" s="45"/>
      <c r="HU173" s="45"/>
      <c r="HV173" s="45"/>
      <c r="HW173" s="45"/>
      <c r="HX173" s="45"/>
      <c r="HY173" s="45"/>
      <c r="HZ173" s="45"/>
      <c r="IA173" s="45"/>
      <c r="IB173" s="45"/>
      <c r="IC173" s="45"/>
      <c r="ID173" s="45"/>
      <c r="IE173" s="45"/>
      <c r="IF173" s="45"/>
      <c r="IG173" s="45"/>
      <c r="IH173" s="45"/>
      <c r="II173" s="45"/>
      <c r="IJ173" s="45"/>
      <c r="IK173" s="45"/>
      <c r="IL173" s="45"/>
      <c r="IM173" s="45"/>
      <c r="IN173" s="45"/>
      <c r="IO173" s="45"/>
      <c r="IP173" s="45"/>
      <c r="IQ173" s="45"/>
      <c r="IR173" s="45"/>
      <c r="IS173" s="45"/>
      <c r="IT173" s="45"/>
    </row>
    <row r="174" s="6" customFormat="1" ht="108" customHeight="1" spans="1:254">
      <c r="A174" s="26">
        <v>172</v>
      </c>
      <c r="B174" s="36"/>
      <c r="C174" s="37" t="s">
        <v>357</v>
      </c>
      <c r="D174" s="37" t="str">
        <f>_xlfn.DISPIMG("ID_1F6F775308B14C01824D10517828BC54",1)</f>
        <v>=DISPIMG("ID_1F6F775308B14C01824D10517828BC54",1)</v>
      </c>
      <c r="E174" s="29" t="s">
        <v>358</v>
      </c>
      <c r="F174" s="27" t="s">
        <v>262</v>
      </c>
      <c r="G174" s="30">
        <v>4</v>
      </c>
      <c r="H174" s="31"/>
      <c r="I174" s="30">
        <f t="shared" si="2"/>
        <v>0</v>
      </c>
      <c r="J174" s="43"/>
      <c r="K174" s="47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5"/>
      <c r="EY174" s="45"/>
      <c r="EZ174" s="45"/>
      <c r="FA174" s="45"/>
      <c r="FB174" s="45"/>
      <c r="FC174" s="45"/>
      <c r="FD174" s="45"/>
      <c r="FE174" s="45"/>
      <c r="FF174" s="45"/>
      <c r="FG174" s="45"/>
      <c r="FH174" s="45"/>
      <c r="FI174" s="45"/>
      <c r="FJ174" s="45"/>
      <c r="FK174" s="45"/>
      <c r="FL174" s="45"/>
      <c r="FM174" s="45"/>
      <c r="FN174" s="45"/>
      <c r="FO174" s="45"/>
      <c r="FP174" s="45"/>
      <c r="FQ174" s="45"/>
      <c r="FR174" s="45"/>
      <c r="FS174" s="45"/>
      <c r="FT174" s="45"/>
      <c r="FU174" s="45"/>
      <c r="FV174" s="45"/>
      <c r="FW174" s="45"/>
      <c r="FX174" s="45"/>
      <c r="FY174" s="45"/>
      <c r="FZ174" s="45"/>
      <c r="GA174" s="45"/>
      <c r="GB174" s="45"/>
      <c r="GC174" s="45"/>
      <c r="GD174" s="45"/>
      <c r="GE174" s="45"/>
      <c r="GF174" s="45"/>
      <c r="GG174" s="45"/>
      <c r="GH174" s="45"/>
      <c r="GI174" s="45"/>
      <c r="GJ174" s="45"/>
      <c r="GK174" s="45"/>
      <c r="GL174" s="45"/>
      <c r="GM174" s="45"/>
      <c r="GN174" s="45"/>
      <c r="GO174" s="45"/>
      <c r="GP174" s="45"/>
      <c r="GQ174" s="45"/>
      <c r="GR174" s="45"/>
      <c r="GS174" s="45"/>
      <c r="GT174" s="45"/>
      <c r="GU174" s="45"/>
      <c r="GV174" s="45"/>
      <c r="GW174" s="45"/>
      <c r="GX174" s="45"/>
      <c r="GY174" s="45"/>
      <c r="GZ174" s="45"/>
      <c r="HA174" s="45"/>
      <c r="HB174" s="45"/>
      <c r="HC174" s="45"/>
      <c r="HD174" s="45"/>
      <c r="HE174" s="45"/>
      <c r="HF174" s="45"/>
      <c r="HG174" s="45"/>
      <c r="HH174" s="45"/>
      <c r="HI174" s="45"/>
      <c r="HJ174" s="45"/>
      <c r="HK174" s="45"/>
      <c r="HL174" s="45"/>
      <c r="HM174" s="45"/>
      <c r="HN174" s="45"/>
      <c r="HO174" s="45"/>
      <c r="HP174" s="45"/>
      <c r="HQ174" s="45"/>
      <c r="HR174" s="45"/>
      <c r="HS174" s="45"/>
      <c r="HT174" s="45"/>
      <c r="HU174" s="45"/>
      <c r="HV174" s="45"/>
      <c r="HW174" s="45"/>
      <c r="HX174" s="45"/>
      <c r="HY174" s="45"/>
      <c r="HZ174" s="45"/>
      <c r="IA174" s="45"/>
      <c r="IB174" s="45"/>
      <c r="IC174" s="45"/>
      <c r="ID174" s="45"/>
      <c r="IE174" s="45"/>
      <c r="IF174" s="45"/>
      <c r="IG174" s="45"/>
      <c r="IH174" s="45"/>
      <c r="II174" s="45"/>
      <c r="IJ174" s="45"/>
      <c r="IK174" s="45"/>
      <c r="IL174" s="45"/>
      <c r="IM174" s="45"/>
      <c r="IN174" s="45"/>
      <c r="IO174" s="45"/>
      <c r="IP174" s="45"/>
      <c r="IQ174" s="45"/>
      <c r="IR174" s="45"/>
      <c r="IS174" s="45"/>
      <c r="IT174" s="45"/>
    </row>
    <row r="175" s="6" customFormat="1" ht="106" customHeight="1" spans="1:254">
      <c r="A175" s="26">
        <v>173</v>
      </c>
      <c r="B175" s="36"/>
      <c r="C175" s="37" t="s">
        <v>359</v>
      </c>
      <c r="D175" s="37" t="str">
        <f>_xlfn.DISPIMG("ID_20EA608E7E5A45F0867F5CFC08ADD6E4",1)</f>
        <v>=DISPIMG("ID_20EA608E7E5A45F0867F5CFC08ADD6E4",1)</v>
      </c>
      <c r="E175" s="29" t="s">
        <v>360</v>
      </c>
      <c r="F175" s="27" t="s">
        <v>262</v>
      </c>
      <c r="G175" s="30">
        <v>2</v>
      </c>
      <c r="H175" s="31"/>
      <c r="I175" s="30">
        <f t="shared" si="2"/>
        <v>0</v>
      </c>
      <c r="J175" s="43"/>
      <c r="K175" s="47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5"/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  <c r="ER175" s="45"/>
      <c r="ES175" s="45"/>
      <c r="ET175" s="45"/>
      <c r="EU175" s="45"/>
      <c r="EV175" s="45"/>
      <c r="EW175" s="45"/>
      <c r="EX175" s="45"/>
      <c r="EY175" s="45"/>
      <c r="EZ175" s="45"/>
      <c r="FA175" s="45"/>
      <c r="FB175" s="45"/>
      <c r="FC175" s="45"/>
      <c r="FD175" s="45"/>
      <c r="FE175" s="45"/>
      <c r="FF175" s="45"/>
      <c r="FG175" s="45"/>
      <c r="FH175" s="45"/>
      <c r="FI175" s="45"/>
      <c r="FJ175" s="45"/>
      <c r="FK175" s="45"/>
      <c r="FL175" s="45"/>
      <c r="FM175" s="45"/>
      <c r="FN175" s="45"/>
      <c r="FO175" s="45"/>
      <c r="FP175" s="45"/>
      <c r="FQ175" s="45"/>
      <c r="FR175" s="45"/>
      <c r="FS175" s="45"/>
      <c r="FT175" s="45"/>
      <c r="FU175" s="45"/>
      <c r="FV175" s="45"/>
      <c r="FW175" s="45"/>
      <c r="FX175" s="45"/>
      <c r="FY175" s="45"/>
      <c r="FZ175" s="45"/>
      <c r="GA175" s="45"/>
      <c r="GB175" s="45"/>
      <c r="GC175" s="45"/>
      <c r="GD175" s="45"/>
      <c r="GE175" s="45"/>
      <c r="GF175" s="45"/>
      <c r="GG175" s="45"/>
      <c r="GH175" s="45"/>
      <c r="GI175" s="45"/>
      <c r="GJ175" s="45"/>
      <c r="GK175" s="45"/>
      <c r="GL175" s="45"/>
      <c r="GM175" s="45"/>
      <c r="GN175" s="45"/>
      <c r="GO175" s="45"/>
      <c r="GP175" s="45"/>
      <c r="GQ175" s="45"/>
      <c r="GR175" s="45"/>
      <c r="GS175" s="45"/>
      <c r="GT175" s="45"/>
      <c r="GU175" s="45"/>
      <c r="GV175" s="45"/>
      <c r="GW175" s="45"/>
      <c r="GX175" s="45"/>
      <c r="GY175" s="45"/>
      <c r="GZ175" s="45"/>
      <c r="HA175" s="45"/>
      <c r="HB175" s="45"/>
      <c r="HC175" s="45"/>
      <c r="HD175" s="45"/>
      <c r="HE175" s="45"/>
      <c r="HF175" s="45"/>
      <c r="HG175" s="45"/>
      <c r="HH175" s="45"/>
      <c r="HI175" s="45"/>
      <c r="HJ175" s="45"/>
      <c r="HK175" s="45"/>
      <c r="HL175" s="45"/>
      <c r="HM175" s="45"/>
      <c r="HN175" s="45"/>
      <c r="HO175" s="45"/>
      <c r="HP175" s="45"/>
      <c r="HQ175" s="45"/>
      <c r="HR175" s="45"/>
      <c r="HS175" s="45"/>
      <c r="HT175" s="45"/>
      <c r="HU175" s="45"/>
      <c r="HV175" s="45"/>
      <c r="HW175" s="45"/>
      <c r="HX175" s="45"/>
      <c r="HY175" s="45"/>
      <c r="HZ175" s="45"/>
      <c r="IA175" s="45"/>
      <c r="IB175" s="45"/>
      <c r="IC175" s="45"/>
      <c r="ID175" s="45"/>
      <c r="IE175" s="45"/>
      <c r="IF175" s="45"/>
      <c r="IG175" s="45"/>
      <c r="IH175" s="45"/>
      <c r="II175" s="45"/>
      <c r="IJ175" s="45"/>
      <c r="IK175" s="45"/>
      <c r="IL175" s="45"/>
      <c r="IM175" s="45"/>
      <c r="IN175" s="45"/>
      <c r="IO175" s="45"/>
      <c r="IP175" s="45"/>
      <c r="IQ175" s="45"/>
      <c r="IR175" s="45"/>
      <c r="IS175" s="45"/>
      <c r="IT175" s="45"/>
    </row>
    <row r="176" s="6" customFormat="1" ht="76" customHeight="1" spans="1:254">
      <c r="A176" s="26">
        <v>174</v>
      </c>
      <c r="B176" s="36"/>
      <c r="C176" s="37" t="s">
        <v>361</v>
      </c>
      <c r="D176" s="37" t="str">
        <f>_xlfn.DISPIMG("ID_B130F6D2FA6049168271ABCAF9289C44",1)</f>
        <v>=DISPIMG("ID_B130F6D2FA6049168271ABCAF9289C44",1)</v>
      </c>
      <c r="E176" s="29" t="s">
        <v>362</v>
      </c>
      <c r="F176" s="27" t="s">
        <v>262</v>
      </c>
      <c r="G176" s="30">
        <v>4</v>
      </c>
      <c r="H176" s="31"/>
      <c r="I176" s="30">
        <f t="shared" si="2"/>
        <v>0</v>
      </c>
      <c r="J176" s="43"/>
      <c r="K176" s="44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5"/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45"/>
      <c r="FN176" s="45"/>
      <c r="FO176" s="45"/>
      <c r="FP176" s="45"/>
      <c r="FQ176" s="45"/>
      <c r="FR176" s="45"/>
      <c r="FS176" s="45"/>
      <c r="FT176" s="45"/>
      <c r="FU176" s="45"/>
      <c r="FV176" s="45"/>
      <c r="FW176" s="45"/>
      <c r="FX176" s="45"/>
      <c r="FY176" s="45"/>
      <c r="FZ176" s="45"/>
      <c r="GA176" s="45"/>
      <c r="GB176" s="45"/>
      <c r="GC176" s="45"/>
      <c r="GD176" s="45"/>
      <c r="GE176" s="45"/>
      <c r="GF176" s="45"/>
      <c r="GG176" s="45"/>
      <c r="GH176" s="45"/>
      <c r="GI176" s="45"/>
      <c r="GJ176" s="45"/>
      <c r="GK176" s="45"/>
      <c r="GL176" s="45"/>
      <c r="GM176" s="45"/>
      <c r="GN176" s="45"/>
      <c r="GO176" s="45"/>
      <c r="GP176" s="45"/>
      <c r="GQ176" s="45"/>
      <c r="GR176" s="45"/>
      <c r="GS176" s="45"/>
      <c r="GT176" s="45"/>
      <c r="GU176" s="45"/>
      <c r="GV176" s="45"/>
      <c r="GW176" s="45"/>
      <c r="GX176" s="45"/>
      <c r="GY176" s="45"/>
      <c r="GZ176" s="45"/>
      <c r="HA176" s="45"/>
      <c r="HB176" s="45"/>
      <c r="HC176" s="45"/>
      <c r="HD176" s="45"/>
      <c r="HE176" s="45"/>
      <c r="HF176" s="45"/>
      <c r="HG176" s="45"/>
      <c r="HH176" s="45"/>
      <c r="HI176" s="45"/>
      <c r="HJ176" s="45"/>
      <c r="HK176" s="45"/>
      <c r="HL176" s="45"/>
      <c r="HM176" s="45"/>
      <c r="HN176" s="45"/>
      <c r="HO176" s="45"/>
      <c r="HP176" s="45"/>
      <c r="HQ176" s="45"/>
      <c r="HR176" s="45"/>
      <c r="HS176" s="45"/>
      <c r="HT176" s="45"/>
      <c r="HU176" s="45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</row>
    <row r="177" s="6" customFormat="1" ht="78" customHeight="1" spans="1:256">
      <c r="A177" s="26">
        <v>175</v>
      </c>
      <c r="B177" s="36"/>
      <c r="C177" s="37" t="s">
        <v>363</v>
      </c>
      <c r="D177" s="37" t="str">
        <f>_xlfn.DISPIMG("ID_0D63947EB9164E4BB20269D0B43DA38B",1)</f>
        <v>=DISPIMG("ID_0D63947EB9164E4BB20269D0B43DA38B",1)</v>
      </c>
      <c r="E177" s="29" t="s">
        <v>364</v>
      </c>
      <c r="F177" s="27" t="s">
        <v>262</v>
      </c>
      <c r="G177" s="30">
        <v>2</v>
      </c>
      <c r="H177" s="31"/>
      <c r="I177" s="30">
        <f t="shared" si="2"/>
        <v>0</v>
      </c>
      <c r="J177" s="43"/>
      <c r="K177" s="44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  <c r="ER177" s="45"/>
      <c r="ES177" s="45"/>
      <c r="ET177" s="45"/>
      <c r="EU177" s="45"/>
      <c r="EV177" s="45"/>
      <c r="EW177" s="45"/>
      <c r="EX177" s="45"/>
      <c r="EY177" s="45"/>
      <c r="EZ177" s="45"/>
      <c r="FA177" s="45"/>
      <c r="FB177" s="45"/>
      <c r="FC177" s="45"/>
      <c r="FD177" s="45"/>
      <c r="FE177" s="45"/>
      <c r="FF177" s="45"/>
      <c r="FG177" s="45"/>
      <c r="FH177" s="45"/>
      <c r="FI177" s="45"/>
      <c r="FJ177" s="45"/>
      <c r="FK177" s="45"/>
      <c r="FL177" s="45"/>
      <c r="FM177" s="45"/>
      <c r="FN177" s="45"/>
      <c r="FO177" s="45"/>
      <c r="FP177" s="45"/>
      <c r="FQ177" s="45"/>
      <c r="FR177" s="45"/>
      <c r="FS177" s="45"/>
      <c r="FT177" s="45"/>
      <c r="FU177" s="45"/>
      <c r="FV177" s="45"/>
      <c r="FW177" s="45"/>
      <c r="FX177" s="45"/>
      <c r="FY177" s="45"/>
      <c r="FZ177" s="45"/>
      <c r="GA177" s="45"/>
      <c r="GB177" s="45"/>
      <c r="GC177" s="45"/>
      <c r="GD177" s="45"/>
      <c r="GE177" s="45"/>
      <c r="GF177" s="45"/>
      <c r="GG177" s="45"/>
      <c r="GH177" s="45"/>
      <c r="GI177" s="45"/>
      <c r="GJ177" s="45"/>
      <c r="GK177" s="45"/>
      <c r="GL177" s="45"/>
      <c r="GM177" s="45"/>
      <c r="GN177" s="45"/>
      <c r="GO177" s="45"/>
      <c r="GP177" s="45"/>
      <c r="GQ177" s="45"/>
      <c r="GR177" s="45"/>
      <c r="GS177" s="45"/>
      <c r="GT177" s="45"/>
      <c r="GU177" s="45"/>
      <c r="GV177" s="45"/>
      <c r="GW177" s="45"/>
      <c r="GX177" s="45"/>
      <c r="GY177" s="45"/>
      <c r="GZ177" s="45"/>
      <c r="HA177" s="45"/>
      <c r="HB177" s="45"/>
      <c r="HC177" s="45"/>
      <c r="HD177" s="45"/>
      <c r="HE177" s="45"/>
      <c r="HF177" s="45"/>
      <c r="HG177" s="45"/>
      <c r="HH177" s="45"/>
      <c r="HI177" s="45"/>
      <c r="HJ177" s="45"/>
      <c r="HK177" s="45"/>
      <c r="HL177" s="45"/>
      <c r="HM177" s="45"/>
      <c r="HN177" s="45"/>
      <c r="HO177" s="45"/>
      <c r="HP177" s="45"/>
      <c r="HQ177" s="45"/>
      <c r="HR177" s="45"/>
      <c r="HS177" s="45"/>
      <c r="HT177" s="45"/>
      <c r="HU177" s="45"/>
      <c r="HV177" s="45"/>
      <c r="HW177" s="45"/>
      <c r="HX177" s="45"/>
      <c r="HY177" s="45"/>
      <c r="HZ177" s="45"/>
      <c r="IA177" s="45"/>
      <c r="IB177" s="45"/>
      <c r="IC177" s="45"/>
      <c r="ID177" s="45"/>
      <c r="IE177" s="45"/>
      <c r="IF177" s="45"/>
      <c r="IG177" s="45"/>
      <c r="IH177" s="45"/>
      <c r="II177" s="45"/>
      <c r="IJ177" s="45"/>
      <c r="IK177" s="45"/>
      <c r="IL177" s="45"/>
      <c r="IM177" s="45"/>
      <c r="IN177" s="45"/>
      <c r="IO177" s="45"/>
      <c r="IP177" s="45"/>
      <c r="IQ177" s="45"/>
      <c r="IR177" s="45"/>
      <c r="IS177" s="45"/>
      <c r="IT177" s="45"/>
    </row>
    <row r="178" s="3" customFormat="1" ht="93" customHeight="1" spans="1:256">
      <c r="A178" s="26">
        <v>176</v>
      </c>
      <c r="B178" s="34"/>
      <c r="C178" s="35" t="s">
        <v>365</v>
      </c>
      <c r="D178" s="35" t="str">
        <f>_xlfn.DISPIMG("ID_2867B4C53A3C4115B560EC63443C0BFB",1)</f>
        <v>=DISPIMG("ID_2867B4C53A3C4115B560EC63443C0BFB",1)</v>
      </c>
      <c r="E178" s="29" t="s">
        <v>366</v>
      </c>
      <c r="F178" s="27" t="s">
        <v>13</v>
      </c>
      <c r="G178" s="30">
        <v>15</v>
      </c>
      <c r="H178" s="31"/>
      <c r="I178" s="30">
        <f t="shared" si="2"/>
        <v>0</v>
      </c>
      <c r="J178" s="32"/>
      <c r="K178" s="33"/>
    </row>
    <row r="179" s="3" customFormat="1" ht="93" customHeight="1" spans="1:256">
      <c r="A179" s="26">
        <v>177</v>
      </c>
      <c r="B179" s="34"/>
      <c r="C179" s="35" t="s">
        <v>367</v>
      </c>
      <c r="D179" s="35" t="str">
        <f>_xlfn.DISPIMG("ID_A43EC94F9A6E4A678EA525737C28497C",1)</f>
        <v>=DISPIMG("ID_A43EC94F9A6E4A678EA525737C28497C",1)</v>
      </c>
      <c r="E179" s="29" t="s">
        <v>368</v>
      </c>
      <c r="F179" s="27" t="s">
        <v>13</v>
      </c>
      <c r="G179" s="30">
        <v>2</v>
      </c>
      <c r="H179" s="31"/>
      <c r="I179" s="30">
        <f t="shared" si="2"/>
        <v>0</v>
      </c>
      <c r="J179" s="32"/>
      <c r="K179" s="33"/>
    </row>
    <row r="180" s="4" customFormat="1" ht="78" customHeight="1" spans="1:256">
      <c r="A180" s="26">
        <v>178</v>
      </c>
      <c r="B180" s="34"/>
      <c r="C180" s="35" t="s">
        <v>369</v>
      </c>
      <c r="D180" s="35" t="str">
        <f>_xlfn.DISPIMG("ID_DFB6C5C541C44970B6E5261BE52B81B9",1)</f>
        <v>=DISPIMG("ID_DFB6C5C541C44970B6E5261BE52B81B9",1)</v>
      </c>
      <c r="E180" s="29" t="s">
        <v>370</v>
      </c>
      <c r="F180" s="27" t="s">
        <v>13</v>
      </c>
      <c r="G180" s="30">
        <v>3</v>
      </c>
      <c r="H180" s="31"/>
      <c r="I180" s="30">
        <f t="shared" si="2"/>
        <v>0</v>
      </c>
      <c r="J180" s="32"/>
      <c r="K180" s="3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</row>
    <row r="181" s="3" customFormat="1" ht="78" customHeight="1" spans="1:256">
      <c r="A181" s="26">
        <v>179</v>
      </c>
      <c r="B181" s="34"/>
      <c r="C181" s="35" t="s">
        <v>371</v>
      </c>
      <c r="D181" s="35" t="str">
        <f>_xlfn.DISPIMG("ID_D02B0238E95C416BB00D73523632E0C4",1)</f>
        <v>=DISPIMG("ID_D02B0238E95C416BB00D73523632E0C4",1)</v>
      </c>
      <c r="E181" s="42" t="s">
        <v>372</v>
      </c>
      <c r="F181" s="27" t="s">
        <v>262</v>
      </c>
      <c r="G181" s="30">
        <v>26</v>
      </c>
      <c r="H181" s="31"/>
      <c r="I181" s="30">
        <f t="shared" si="2"/>
        <v>0</v>
      </c>
      <c r="J181" s="32"/>
      <c r="K181" s="33"/>
    </row>
    <row r="182" s="3" customFormat="1" ht="78" customHeight="1" spans="1:256">
      <c r="A182" s="26">
        <v>180</v>
      </c>
      <c r="B182" s="27"/>
      <c r="C182" s="28" t="s">
        <v>373</v>
      </c>
      <c r="D182" s="28" t="str">
        <f>_xlfn.DISPIMG("ID_26E57B49B01C42BC9ABE6DBBEBF2442F",1)</f>
        <v>=DISPIMG("ID_26E57B49B01C42BC9ABE6DBBEBF2442F",1)</v>
      </c>
      <c r="E182" s="42" t="s">
        <v>374</v>
      </c>
      <c r="F182" s="27" t="s">
        <v>13</v>
      </c>
      <c r="G182" s="30">
        <v>7</v>
      </c>
      <c r="H182" s="31"/>
      <c r="I182" s="30">
        <f t="shared" si="2"/>
        <v>0</v>
      </c>
      <c r="J182" s="32"/>
      <c r="K182" s="33"/>
    </row>
    <row r="183" s="4" customFormat="1" ht="78" customHeight="1" spans="1:256">
      <c r="A183" s="26">
        <v>181</v>
      </c>
      <c r="B183" s="34"/>
      <c r="C183" s="35" t="s">
        <v>375</v>
      </c>
      <c r="D183" s="35" t="str">
        <f>_xlfn.DISPIMG("ID_E5D2A2C5BCE8445899B6132FE2C20238",1)</f>
        <v>=DISPIMG("ID_E5D2A2C5BCE8445899B6132FE2C20238",1)</v>
      </c>
      <c r="E183" s="35" t="s">
        <v>376</v>
      </c>
      <c r="F183" s="26" t="s">
        <v>262</v>
      </c>
      <c r="G183" s="30">
        <v>1</v>
      </c>
      <c r="H183" s="31"/>
      <c r="I183" s="30">
        <f t="shared" si="2"/>
        <v>0</v>
      </c>
      <c r="J183" s="32"/>
      <c r="K183" s="3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</row>
    <row r="184" s="5" customFormat="1" ht="78" customHeight="1" spans="1:256">
      <c r="A184" s="26">
        <v>182</v>
      </c>
      <c r="B184" s="36"/>
      <c r="C184" s="37" t="s">
        <v>377</v>
      </c>
      <c r="D184" s="37" t="str">
        <f>_xlfn.DISPIMG("ID_D14466735F50453A9EA43499E56EC44C",1)</f>
        <v>=DISPIMG("ID_D14466735F50453A9EA43499E56EC44C",1)</v>
      </c>
      <c r="E184" s="37" t="s">
        <v>378</v>
      </c>
      <c r="F184" s="27" t="s">
        <v>13</v>
      </c>
      <c r="G184" s="30">
        <v>3</v>
      </c>
      <c r="H184" s="31"/>
      <c r="I184" s="30">
        <f t="shared" si="2"/>
        <v>0</v>
      </c>
      <c r="J184" s="38"/>
      <c r="K184" s="33"/>
      <c r="L184" s="3"/>
      <c r="IU184" s="39"/>
      <c r="IV184" s="39"/>
    </row>
    <row r="185" s="5" customFormat="1" ht="78" customHeight="1" spans="1:256">
      <c r="A185" s="26">
        <v>183</v>
      </c>
      <c r="B185" s="36"/>
      <c r="C185" s="37" t="s">
        <v>379</v>
      </c>
      <c r="D185" s="37" t="str">
        <f>_xlfn.DISPIMG("ID_1559D85686F44B0084EED3EB089F51C5",1)</f>
        <v>=DISPIMG("ID_1559D85686F44B0084EED3EB089F51C5",1)</v>
      </c>
      <c r="E185" s="40" t="s">
        <v>380</v>
      </c>
      <c r="F185" s="27" t="s">
        <v>13</v>
      </c>
      <c r="G185" s="30">
        <v>2</v>
      </c>
      <c r="H185" s="31"/>
      <c r="I185" s="30">
        <f t="shared" si="2"/>
        <v>0</v>
      </c>
      <c r="J185" s="38"/>
      <c r="K185" s="33"/>
      <c r="L185" s="3"/>
      <c r="IU185" s="39"/>
      <c r="IV185" s="39"/>
    </row>
    <row r="186" s="5" customFormat="1" ht="219" customHeight="1" spans="1:256">
      <c r="A186" s="26">
        <v>184</v>
      </c>
      <c r="B186" s="36"/>
      <c r="C186" s="37" t="s">
        <v>381</v>
      </c>
      <c r="D186" s="37" t="str">
        <f>_xlfn.DISPIMG("ID_E498885D26764AB3BAA5ABD491DCECAB",1)</f>
        <v>=DISPIMG("ID_E498885D26764AB3BAA5ABD491DCECAB",1)</v>
      </c>
      <c r="E186" s="40" t="s">
        <v>382</v>
      </c>
      <c r="F186" s="27" t="s">
        <v>13</v>
      </c>
      <c r="G186" s="30">
        <v>15</v>
      </c>
      <c r="H186" s="31"/>
      <c r="I186" s="30">
        <f t="shared" si="2"/>
        <v>0</v>
      </c>
      <c r="J186" s="38"/>
      <c r="K186" s="33"/>
      <c r="L186" s="3"/>
      <c r="IU186" s="39"/>
      <c r="IV186" s="39"/>
    </row>
    <row r="187" s="5" customFormat="1" ht="110" customHeight="1" spans="1:256">
      <c r="A187" s="26">
        <v>185</v>
      </c>
      <c r="B187" s="36"/>
      <c r="C187" s="37" t="s">
        <v>383</v>
      </c>
      <c r="D187" s="37" t="str">
        <f>_xlfn.DISPIMG("ID_0D74E424671D42C1A5BE516B010F9D32",1)</f>
        <v>=DISPIMG("ID_0D74E424671D42C1A5BE516B010F9D32",1)</v>
      </c>
      <c r="E187" s="40" t="s">
        <v>384</v>
      </c>
      <c r="F187" s="27" t="s">
        <v>13</v>
      </c>
      <c r="G187" s="30">
        <v>4</v>
      </c>
      <c r="H187" s="31"/>
      <c r="I187" s="30">
        <f t="shared" si="2"/>
        <v>0</v>
      </c>
      <c r="J187" s="38"/>
      <c r="K187" s="33"/>
      <c r="L187" s="3"/>
      <c r="IU187" s="39"/>
      <c r="IV187" s="39"/>
    </row>
    <row r="188" s="5" customFormat="1" ht="110" customHeight="1" spans="1:256">
      <c r="A188" s="26">
        <v>186</v>
      </c>
      <c r="B188" s="36"/>
      <c r="C188" s="37" t="s">
        <v>385</v>
      </c>
      <c r="D188" s="37" t="str">
        <f>_xlfn.DISPIMG("ID_0AC36F2D3D7B43EB839BCB6CAD37B888",1)</f>
        <v>=DISPIMG("ID_0AC36F2D3D7B43EB839BCB6CAD37B888",1)</v>
      </c>
      <c r="E188" s="40" t="s">
        <v>386</v>
      </c>
      <c r="F188" s="27" t="s">
        <v>16</v>
      </c>
      <c r="G188" s="30">
        <v>7</v>
      </c>
      <c r="H188" s="31"/>
      <c r="I188" s="30">
        <f t="shared" si="2"/>
        <v>0</v>
      </c>
      <c r="J188" s="38"/>
      <c r="K188" s="33"/>
      <c r="L188" s="3"/>
      <c r="IU188" s="39"/>
      <c r="IV188" s="39"/>
    </row>
    <row r="189" s="3" customFormat="1" ht="108" customHeight="1" spans="1:256">
      <c r="A189" s="26">
        <v>187</v>
      </c>
      <c r="B189" s="27"/>
      <c r="C189" s="28" t="s">
        <v>387</v>
      </c>
      <c r="D189" s="28" t="str">
        <f>_xlfn.DISPIMG("ID_C2927EF332CA4D18B2A8BA137C93BBFC",1)</f>
        <v>=DISPIMG("ID_C2927EF332CA4D18B2A8BA137C93BBFC",1)</v>
      </c>
      <c r="E189" s="29" t="s">
        <v>388</v>
      </c>
      <c r="F189" s="27" t="s">
        <v>13</v>
      </c>
      <c r="G189" s="30">
        <v>46</v>
      </c>
      <c r="H189" s="31"/>
      <c r="I189" s="30">
        <f t="shared" si="2"/>
        <v>0</v>
      </c>
      <c r="J189" s="32"/>
      <c r="K189" s="33"/>
    </row>
    <row r="190" s="6" customFormat="1" ht="121" customHeight="1" spans="1:256">
      <c r="A190" s="26">
        <v>188</v>
      </c>
      <c r="B190" s="36"/>
      <c r="C190" s="37" t="s">
        <v>389</v>
      </c>
      <c r="D190" s="37" t="str">
        <f>_xlfn.DISPIMG("ID_721D5015130B4C6FAA4406C741FA5249",1)</f>
        <v>=DISPIMG("ID_721D5015130B4C6FAA4406C741FA5249",1)</v>
      </c>
      <c r="E190" s="29" t="s">
        <v>390</v>
      </c>
      <c r="F190" s="27" t="s">
        <v>13</v>
      </c>
      <c r="G190" s="30">
        <v>4</v>
      </c>
      <c r="H190" s="31"/>
      <c r="I190" s="30">
        <f t="shared" si="2"/>
        <v>0</v>
      </c>
      <c r="J190" s="43"/>
      <c r="K190" s="44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  <c r="FV190" s="45"/>
      <c r="FW190" s="45"/>
      <c r="FX190" s="45"/>
      <c r="FY190" s="45"/>
      <c r="FZ190" s="45"/>
      <c r="GA190" s="45"/>
      <c r="GB190" s="45"/>
      <c r="GC190" s="45"/>
      <c r="GD190" s="45"/>
      <c r="GE190" s="45"/>
      <c r="GF190" s="45"/>
      <c r="GG190" s="45"/>
      <c r="GH190" s="45"/>
      <c r="GI190" s="45"/>
      <c r="GJ190" s="45"/>
      <c r="GK190" s="45"/>
      <c r="GL190" s="45"/>
      <c r="GM190" s="45"/>
      <c r="GN190" s="45"/>
      <c r="GO190" s="45"/>
      <c r="GP190" s="45"/>
      <c r="GQ190" s="45"/>
      <c r="GR190" s="45"/>
      <c r="GS190" s="45"/>
      <c r="GT190" s="45"/>
      <c r="GU190" s="45"/>
      <c r="GV190" s="45"/>
      <c r="GW190" s="45"/>
      <c r="GX190" s="45"/>
      <c r="GY190" s="45"/>
      <c r="GZ190" s="45"/>
      <c r="HA190" s="45"/>
      <c r="HB190" s="45"/>
      <c r="HC190" s="45"/>
      <c r="HD190" s="45"/>
      <c r="HE190" s="45"/>
      <c r="HF190" s="45"/>
      <c r="HG190" s="45"/>
      <c r="HH190" s="45"/>
      <c r="HI190" s="45"/>
      <c r="HJ190" s="45"/>
      <c r="HK190" s="45"/>
      <c r="HL190" s="45"/>
      <c r="HM190" s="45"/>
      <c r="HN190" s="45"/>
      <c r="HO190" s="45"/>
      <c r="HP190" s="45"/>
      <c r="HQ190" s="45"/>
      <c r="HR190" s="45"/>
      <c r="HS190" s="45"/>
      <c r="HT190" s="45"/>
      <c r="HU190" s="45"/>
      <c r="HV190" s="45"/>
      <c r="HW190" s="45"/>
      <c r="HX190" s="45"/>
      <c r="HY190" s="45"/>
      <c r="HZ190" s="45"/>
      <c r="IA190" s="45"/>
      <c r="IB190" s="45"/>
      <c r="IC190" s="45"/>
      <c r="ID190" s="45"/>
      <c r="IE190" s="45"/>
      <c r="IF190" s="45"/>
      <c r="IG190" s="45"/>
      <c r="IH190" s="45"/>
      <c r="II190" s="45"/>
      <c r="IJ190" s="45"/>
      <c r="IK190" s="45"/>
      <c r="IL190" s="45"/>
      <c r="IM190" s="45"/>
      <c r="IN190" s="45"/>
      <c r="IO190" s="45"/>
      <c r="IP190" s="45"/>
      <c r="IQ190" s="45"/>
      <c r="IR190" s="45"/>
      <c r="IS190" s="45"/>
      <c r="IT190" s="45"/>
    </row>
    <row r="191" s="6" customFormat="1" ht="121" customHeight="1" spans="1:256">
      <c r="A191" s="26">
        <v>189</v>
      </c>
      <c r="B191" s="36"/>
      <c r="C191" s="37" t="s">
        <v>391</v>
      </c>
      <c r="D191" s="37" t="str">
        <f>_xlfn.DISPIMG("ID_58FF1D61B2D04057B36D9EE7389480A5",1)</f>
        <v>=DISPIMG("ID_58FF1D61B2D04057B36D9EE7389480A5",1)</v>
      </c>
      <c r="E191" s="29" t="s">
        <v>392</v>
      </c>
      <c r="F191" s="27" t="s">
        <v>13</v>
      </c>
      <c r="G191" s="30">
        <v>1</v>
      </c>
      <c r="H191" s="31"/>
      <c r="I191" s="30">
        <f t="shared" si="2"/>
        <v>0</v>
      </c>
      <c r="J191" s="43"/>
      <c r="K191" s="44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  <c r="FV191" s="45"/>
      <c r="FW191" s="45"/>
      <c r="FX191" s="45"/>
      <c r="FY191" s="45"/>
      <c r="FZ191" s="45"/>
      <c r="GA191" s="45"/>
      <c r="GB191" s="45"/>
      <c r="GC191" s="45"/>
      <c r="GD191" s="45"/>
      <c r="GE191" s="45"/>
      <c r="GF191" s="45"/>
      <c r="GG191" s="45"/>
      <c r="GH191" s="45"/>
      <c r="GI191" s="45"/>
      <c r="GJ191" s="45"/>
      <c r="GK191" s="45"/>
      <c r="GL191" s="45"/>
      <c r="GM191" s="45"/>
      <c r="GN191" s="45"/>
      <c r="GO191" s="45"/>
      <c r="GP191" s="45"/>
      <c r="GQ191" s="45"/>
      <c r="GR191" s="45"/>
      <c r="GS191" s="45"/>
      <c r="GT191" s="45"/>
      <c r="GU191" s="45"/>
      <c r="GV191" s="45"/>
      <c r="GW191" s="45"/>
      <c r="GX191" s="45"/>
      <c r="GY191" s="45"/>
      <c r="GZ191" s="45"/>
      <c r="HA191" s="45"/>
      <c r="HB191" s="45"/>
      <c r="HC191" s="45"/>
      <c r="HD191" s="45"/>
      <c r="HE191" s="45"/>
      <c r="HF191" s="45"/>
      <c r="HG191" s="45"/>
      <c r="HH191" s="45"/>
      <c r="HI191" s="45"/>
      <c r="HJ191" s="45"/>
      <c r="HK191" s="45"/>
      <c r="HL191" s="45"/>
      <c r="HM191" s="45"/>
      <c r="HN191" s="45"/>
      <c r="HO191" s="45"/>
      <c r="HP191" s="45"/>
      <c r="HQ191" s="45"/>
      <c r="HR191" s="45"/>
      <c r="HS191" s="45"/>
      <c r="HT191" s="45"/>
      <c r="HU191" s="45"/>
      <c r="HV191" s="45"/>
      <c r="HW191" s="45"/>
      <c r="HX191" s="45"/>
      <c r="HY191" s="45"/>
      <c r="HZ191" s="45"/>
      <c r="IA191" s="45"/>
      <c r="IB191" s="45"/>
      <c r="IC191" s="45"/>
      <c r="ID191" s="45"/>
      <c r="IE191" s="45"/>
      <c r="IF191" s="45"/>
      <c r="IG191" s="45"/>
      <c r="IH191" s="45"/>
      <c r="II191" s="45"/>
      <c r="IJ191" s="45"/>
      <c r="IK191" s="45"/>
      <c r="IL191" s="45"/>
      <c r="IM191" s="45"/>
      <c r="IN191" s="45"/>
      <c r="IO191" s="45"/>
      <c r="IP191" s="45"/>
      <c r="IQ191" s="45"/>
      <c r="IR191" s="45"/>
      <c r="IS191" s="45"/>
      <c r="IT191" s="45"/>
    </row>
    <row r="192" s="6" customFormat="1" ht="65" customHeight="1" spans="1:256">
      <c r="A192" s="26">
        <v>190</v>
      </c>
      <c r="B192" s="36"/>
      <c r="C192" s="37" t="s">
        <v>393</v>
      </c>
      <c r="D192" s="37" t="str">
        <f>_xlfn.DISPIMG("ID_77AAC92F509145CBA2C044CEE661689F",1)</f>
        <v>=DISPIMG("ID_77AAC92F509145CBA2C044CEE661689F",1)</v>
      </c>
      <c r="E192" s="29" t="s">
        <v>394</v>
      </c>
      <c r="F192" s="27" t="s">
        <v>262</v>
      </c>
      <c r="G192" s="30">
        <v>32</v>
      </c>
      <c r="H192" s="31"/>
      <c r="I192" s="30">
        <f t="shared" si="2"/>
        <v>0</v>
      </c>
      <c r="J192" s="43"/>
      <c r="K192" s="47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  <c r="FV192" s="45"/>
      <c r="FW192" s="45"/>
      <c r="FX192" s="45"/>
      <c r="FY192" s="45"/>
      <c r="FZ192" s="45"/>
      <c r="GA192" s="45"/>
      <c r="GB192" s="45"/>
      <c r="GC192" s="45"/>
      <c r="GD192" s="45"/>
      <c r="GE192" s="45"/>
      <c r="GF192" s="45"/>
      <c r="GG192" s="45"/>
      <c r="GH192" s="45"/>
      <c r="GI192" s="45"/>
      <c r="GJ192" s="45"/>
      <c r="GK192" s="45"/>
      <c r="GL192" s="45"/>
      <c r="GM192" s="45"/>
      <c r="GN192" s="45"/>
      <c r="GO192" s="45"/>
      <c r="GP192" s="45"/>
      <c r="GQ192" s="45"/>
      <c r="GR192" s="45"/>
      <c r="GS192" s="45"/>
      <c r="GT192" s="45"/>
      <c r="GU192" s="45"/>
      <c r="GV192" s="45"/>
      <c r="GW192" s="45"/>
      <c r="GX192" s="45"/>
      <c r="GY192" s="45"/>
      <c r="GZ192" s="45"/>
      <c r="HA192" s="45"/>
      <c r="HB192" s="45"/>
      <c r="HC192" s="45"/>
      <c r="HD192" s="45"/>
      <c r="HE192" s="45"/>
      <c r="HF192" s="45"/>
      <c r="HG192" s="45"/>
      <c r="HH192" s="45"/>
      <c r="HI192" s="45"/>
      <c r="HJ192" s="45"/>
      <c r="HK192" s="45"/>
      <c r="HL192" s="45"/>
      <c r="HM192" s="45"/>
      <c r="HN192" s="45"/>
      <c r="HO192" s="45"/>
      <c r="HP192" s="45"/>
      <c r="HQ192" s="45"/>
      <c r="HR192" s="45"/>
      <c r="HS192" s="45"/>
      <c r="HT192" s="45"/>
      <c r="HU192" s="45"/>
      <c r="HV192" s="45"/>
      <c r="HW192" s="45"/>
      <c r="HX192" s="45"/>
      <c r="HY192" s="45"/>
      <c r="HZ192" s="45"/>
      <c r="IA192" s="45"/>
      <c r="IB192" s="45"/>
      <c r="IC192" s="45"/>
      <c r="ID192" s="45"/>
      <c r="IE192" s="45"/>
      <c r="IF192" s="45"/>
      <c r="IG192" s="45"/>
      <c r="IH192" s="45"/>
      <c r="II192" s="45"/>
      <c r="IJ192" s="45"/>
      <c r="IK192" s="45"/>
      <c r="IL192" s="45"/>
      <c r="IM192" s="45"/>
      <c r="IN192" s="45"/>
      <c r="IO192" s="45"/>
      <c r="IP192" s="45"/>
      <c r="IQ192" s="45"/>
      <c r="IR192" s="45"/>
      <c r="IS192" s="45"/>
      <c r="IT192" s="45"/>
    </row>
    <row r="193" s="6" customFormat="1" ht="94" customHeight="1" spans="1:254">
      <c r="A193" s="26">
        <v>191</v>
      </c>
      <c r="B193" s="46" t="s">
        <v>41</v>
      </c>
      <c r="C193" s="37" t="s">
        <v>395</v>
      </c>
      <c r="D193" s="37" t="str">
        <f>_xlfn.DISPIMG("ID_B33FB69258C545EDB96E472688F1FBAB",1)</f>
        <v>=DISPIMG("ID_B33FB69258C545EDB96E472688F1FBAB",1)</v>
      </c>
      <c r="E193" s="29" t="s">
        <v>396</v>
      </c>
      <c r="F193" s="27" t="s">
        <v>13</v>
      </c>
      <c r="G193" s="30">
        <v>113</v>
      </c>
      <c r="H193" s="31"/>
      <c r="I193" s="30">
        <f t="shared" si="2"/>
        <v>0</v>
      </c>
      <c r="J193" s="43"/>
      <c r="K193" s="44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  <c r="FV193" s="45"/>
      <c r="FW193" s="45"/>
      <c r="FX193" s="45"/>
      <c r="FY193" s="45"/>
      <c r="FZ193" s="45"/>
      <c r="GA193" s="45"/>
      <c r="GB193" s="45"/>
      <c r="GC193" s="45"/>
      <c r="GD193" s="45"/>
      <c r="GE193" s="45"/>
      <c r="GF193" s="45"/>
      <c r="GG193" s="45"/>
      <c r="GH193" s="45"/>
      <c r="GI193" s="45"/>
      <c r="GJ193" s="45"/>
      <c r="GK193" s="45"/>
      <c r="GL193" s="45"/>
      <c r="GM193" s="45"/>
      <c r="GN193" s="45"/>
      <c r="GO193" s="45"/>
      <c r="GP193" s="45"/>
      <c r="GQ193" s="45"/>
      <c r="GR193" s="45"/>
      <c r="GS193" s="45"/>
      <c r="GT193" s="45"/>
      <c r="GU193" s="45"/>
      <c r="GV193" s="45"/>
      <c r="GW193" s="45"/>
      <c r="GX193" s="45"/>
      <c r="GY193" s="45"/>
      <c r="GZ193" s="45"/>
      <c r="HA193" s="45"/>
      <c r="HB193" s="45"/>
      <c r="HC193" s="45"/>
      <c r="HD193" s="45"/>
      <c r="HE193" s="45"/>
      <c r="HF193" s="45"/>
      <c r="HG193" s="45"/>
      <c r="HH193" s="45"/>
      <c r="HI193" s="45"/>
      <c r="HJ193" s="45"/>
      <c r="HK193" s="45"/>
      <c r="HL193" s="45"/>
      <c r="HM193" s="45"/>
      <c r="HN193" s="45"/>
      <c r="HO193" s="45"/>
      <c r="HP193" s="45"/>
      <c r="HQ193" s="45"/>
      <c r="HR193" s="45"/>
      <c r="HS193" s="45"/>
      <c r="HT193" s="45"/>
      <c r="HU193" s="45"/>
      <c r="HV193" s="45"/>
      <c r="HW193" s="45"/>
      <c r="HX193" s="45"/>
      <c r="HY193" s="45"/>
      <c r="HZ193" s="45"/>
      <c r="IA193" s="45"/>
      <c r="IB193" s="45"/>
      <c r="IC193" s="45"/>
      <c r="ID193" s="45"/>
      <c r="IE193" s="45"/>
      <c r="IF193" s="45"/>
      <c r="IG193" s="45"/>
      <c r="IH193" s="45"/>
      <c r="II193" s="45"/>
      <c r="IJ193" s="45"/>
      <c r="IK193" s="45"/>
      <c r="IL193" s="45"/>
      <c r="IM193" s="45"/>
      <c r="IN193" s="45"/>
      <c r="IO193" s="45"/>
      <c r="IP193" s="45"/>
      <c r="IQ193" s="45"/>
      <c r="IR193" s="45"/>
      <c r="IS193" s="45"/>
      <c r="IT193" s="45"/>
    </row>
    <row r="194" s="6" customFormat="1" ht="94" customHeight="1" spans="1:254">
      <c r="A194" s="26">
        <v>192</v>
      </c>
      <c r="B194" s="36"/>
      <c r="C194" s="37" t="s">
        <v>397</v>
      </c>
      <c r="D194" s="37" t="str">
        <f>_xlfn.DISPIMG("ID_15EF542BAAA24E2A8009C42C1C251E28",1)</f>
        <v>=DISPIMG("ID_15EF542BAAA24E2A8009C42C1C251E28",1)</v>
      </c>
      <c r="E194" s="29" t="s">
        <v>398</v>
      </c>
      <c r="F194" s="27" t="s">
        <v>13</v>
      </c>
      <c r="G194" s="30">
        <v>2</v>
      </c>
      <c r="H194" s="31"/>
      <c r="I194" s="30">
        <f t="shared" si="2"/>
        <v>0</v>
      </c>
      <c r="J194" s="43"/>
      <c r="K194" s="44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45"/>
      <c r="DX194" s="45"/>
      <c r="DY194" s="45"/>
      <c r="DZ194" s="45"/>
      <c r="EA194" s="45"/>
      <c r="EB194" s="45"/>
      <c r="EC194" s="45"/>
      <c r="ED194" s="45"/>
      <c r="EE194" s="45"/>
      <c r="EF194" s="45"/>
      <c r="EG194" s="45"/>
      <c r="EH194" s="45"/>
      <c r="EI194" s="45"/>
      <c r="EJ194" s="45"/>
      <c r="EK194" s="45"/>
      <c r="EL194" s="45"/>
      <c r="EM194" s="45"/>
      <c r="EN194" s="45"/>
      <c r="EO194" s="45"/>
      <c r="EP194" s="45"/>
      <c r="EQ194" s="45"/>
      <c r="ER194" s="45"/>
      <c r="ES194" s="45"/>
      <c r="ET194" s="45"/>
      <c r="EU194" s="45"/>
      <c r="EV194" s="45"/>
      <c r="EW194" s="45"/>
      <c r="EX194" s="45"/>
      <c r="EY194" s="45"/>
      <c r="EZ194" s="45"/>
      <c r="FA194" s="45"/>
      <c r="FB194" s="45"/>
      <c r="FC194" s="45"/>
      <c r="FD194" s="45"/>
      <c r="FE194" s="45"/>
      <c r="FF194" s="45"/>
      <c r="FG194" s="45"/>
      <c r="FH194" s="45"/>
      <c r="FI194" s="45"/>
      <c r="FJ194" s="45"/>
      <c r="FK194" s="45"/>
      <c r="FL194" s="45"/>
      <c r="FM194" s="45"/>
      <c r="FN194" s="45"/>
      <c r="FO194" s="45"/>
      <c r="FP194" s="45"/>
      <c r="FQ194" s="45"/>
      <c r="FR194" s="45"/>
      <c r="FS194" s="45"/>
      <c r="FT194" s="45"/>
      <c r="FU194" s="45"/>
      <c r="FV194" s="45"/>
      <c r="FW194" s="45"/>
      <c r="FX194" s="45"/>
      <c r="FY194" s="45"/>
      <c r="FZ194" s="45"/>
      <c r="GA194" s="45"/>
      <c r="GB194" s="45"/>
      <c r="GC194" s="45"/>
      <c r="GD194" s="45"/>
      <c r="GE194" s="45"/>
      <c r="GF194" s="45"/>
      <c r="GG194" s="45"/>
      <c r="GH194" s="45"/>
      <c r="GI194" s="45"/>
      <c r="GJ194" s="45"/>
      <c r="GK194" s="45"/>
      <c r="GL194" s="45"/>
      <c r="GM194" s="45"/>
      <c r="GN194" s="45"/>
      <c r="GO194" s="45"/>
      <c r="GP194" s="45"/>
      <c r="GQ194" s="45"/>
      <c r="GR194" s="45"/>
      <c r="GS194" s="45"/>
      <c r="GT194" s="45"/>
      <c r="GU194" s="45"/>
      <c r="GV194" s="45"/>
      <c r="GW194" s="45"/>
      <c r="GX194" s="45"/>
      <c r="GY194" s="45"/>
      <c r="GZ194" s="45"/>
      <c r="HA194" s="45"/>
      <c r="HB194" s="45"/>
      <c r="HC194" s="45"/>
      <c r="HD194" s="45"/>
      <c r="HE194" s="45"/>
      <c r="HF194" s="45"/>
      <c r="HG194" s="45"/>
      <c r="HH194" s="45"/>
      <c r="HI194" s="45"/>
      <c r="HJ194" s="45"/>
      <c r="HK194" s="45"/>
      <c r="HL194" s="45"/>
      <c r="HM194" s="45"/>
      <c r="HN194" s="45"/>
      <c r="HO194" s="45"/>
      <c r="HP194" s="45"/>
      <c r="HQ194" s="45"/>
      <c r="HR194" s="45"/>
      <c r="HS194" s="45"/>
      <c r="HT194" s="45"/>
      <c r="HU194" s="45"/>
      <c r="HV194" s="45"/>
      <c r="HW194" s="45"/>
      <c r="HX194" s="45"/>
      <c r="HY194" s="45"/>
      <c r="HZ194" s="45"/>
      <c r="IA194" s="45"/>
      <c r="IB194" s="45"/>
      <c r="IC194" s="45"/>
      <c r="ID194" s="45"/>
      <c r="IE194" s="45"/>
      <c r="IF194" s="45"/>
      <c r="IG194" s="45"/>
      <c r="IH194" s="45"/>
      <c r="II194" s="45"/>
      <c r="IJ194" s="45"/>
      <c r="IK194" s="45"/>
      <c r="IL194" s="45"/>
      <c r="IM194" s="45"/>
      <c r="IN194" s="45"/>
      <c r="IO194" s="45"/>
      <c r="IP194" s="45"/>
      <c r="IQ194" s="45"/>
      <c r="IR194" s="45"/>
      <c r="IS194" s="45"/>
      <c r="IT194" s="45"/>
    </row>
    <row r="195" s="6" customFormat="1" ht="94" customHeight="1" spans="1:254">
      <c r="A195" s="26">
        <v>193</v>
      </c>
      <c r="B195" s="46" t="s">
        <v>41</v>
      </c>
      <c r="C195" s="37" t="s">
        <v>399</v>
      </c>
      <c r="D195" s="37" t="str">
        <f>_xlfn.DISPIMG("ID_42DA5D247F934420B7DC559791BEA976",1)</f>
        <v>=DISPIMG("ID_42DA5D247F934420B7DC559791BEA976",1)</v>
      </c>
      <c r="E195" s="29" t="s">
        <v>400</v>
      </c>
      <c r="F195" s="27" t="s">
        <v>262</v>
      </c>
      <c r="G195" s="30">
        <v>615</v>
      </c>
      <c r="H195" s="31"/>
      <c r="I195" s="30">
        <f>G195*H195</f>
        <v>0</v>
      </c>
      <c r="J195" s="43"/>
      <c r="K195" s="44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  <c r="DB195" s="45"/>
      <c r="DC195" s="45"/>
      <c r="DD195" s="45"/>
      <c r="DE195" s="45"/>
      <c r="DF195" s="45"/>
      <c r="DG195" s="45"/>
      <c r="DH195" s="45"/>
      <c r="DI195" s="45"/>
      <c r="DJ195" s="45"/>
      <c r="DK195" s="45"/>
      <c r="DL195" s="45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45"/>
      <c r="DX195" s="45"/>
      <c r="DY195" s="45"/>
      <c r="DZ195" s="45"/>
      <c r="EA195" s="45"/>
      <c r="EB195" s="45"/>
      <c r="EC195" s="45"/>
      <c r="ED195" s="45"/>
      <c r="EE195" s="45"/>
      <c r="EF195" s="45"/>
      <c r="EG195" s="45"/>
      <c r="EH195" s="45"/>
      <c r="EI195" s="45"/>
      <c r="EJ195" s="45"/>
      <c r="EK195" s="45"/>
      <c r="EL195" s="45"/>
      <c r="EM195" s="45"/>
      <c r="EN195" s="45"/>
      <c r="EO195" s="45"/>
      <c r="EP195" s="45"/>
      <c r="EQ195" s="45"/>
      <c r="ER195" s="45"/>
      <c r="ES195" s="45"/>
      <c r="ET195" s="45"/>
      <c r="EU195" s="45"/>
      <c r="EV195" s="45"/>
      <c r="EW195" s="45"/>
      <c r="EX195" s="45"/>
      <c r="EY195" s="45"/>
      <c r="EZ195" s="45"/>
      <c r="FA195" s="45"/>
      <c r="FB195" s="45"/>
      <c r="FC195" s="45"/>
      <c r="FD195" s="45"/>
      <c r="FE195" s="45"/>
      <c r="FF195" s="45"/>
      <c r="FG195" s="45"/>
      <c r="FH195" s="45"/>
      <c r="FI195" s="45"/>
      <c r="FJ195" s="45"/>
      <c r="FK195" s="45"/>
      <c r="FL195" s="45"/>
      <c r="FM195" s="45"/>
      <c r="FN195" s="45"/>
      <c r="FO195" s="45"/>
      <c r="FP195" s="45"/>
      <c r="FQ195" s="45"/>
      <c r="FR195" s="45"/>
      <c r="FS195" s="45"/>
      <c r="FT195" s="45"/>
      <c r="FU195" s="45"/>
      <c r="FV195" s="45"/>
      <c r="FW195" s="45"/>
      <c r="FX195" s="45"/>
      <c r="FY195" s="45"/>
      <c r="FZ195" s="45"/>
      <c r="GA195" s="45"/>
      <c r="GB195" s="45"/>
      <c r="GC195" s="45"/>
      <c r="GD195" s="45"/>
      <c r="GE195" s="45"/>
      <c r="GF195" s="45"/>
      <c r="GG195" s="45"/>
      <c r="GH195" s="45"/>
      <c r="GI195" s="45"/>
      <c r="GJ195" s="45"/>
      <c r="GK195" s="45"/>
      <c r="GL195" s="45"/>
      <c r="GM195" s="45"/>
      <c r="GN195" s="45"/>
      <c r="GO195" s="45"/>
      <c r="GP195" s="45"/>
      <c r="GQ195" s="45"/>
      <c r="GR195" s="45"/>
      <c r="GS195" s="45"/>
      <c r="GT195" s="45"/>
      <c r="GU195" s="45"/>
      <c r="GV195" s="45"/>
      <c r="GW195" s="45"/>
      <c r="GX195" s="45"/>
      <c r="GY195" s="45"/>
      <c r="GZ195" s="45"/>
      <c r="HA195" s="45"/>
      <c r="HB195" s="45"/>
      <c r="HC195" s="45"/>
      <c r="HD195" s="45"/>
      <c r="HE195" s="45"/>
      <c r="HF195" s="45"/>
      <c r="HG195" s="45"/>
      <c r="HH195" s="45"/>
      <c r="HI195" s="45"/>
      <c r="HJ195" s="45"/>
      <c r="HK195" s="45"/>
      <c r="HL195" s="45"/>
      <c r="HM195" s="45"/>
      <c r="HN195" s="45"/>
      <c r="HO195" s="45"/>
      <c r="HP195" s="45"/>
      <c r="HQ195" s="45"/>
      <c r="HR195" s="45"/>
      <c r="HS195" s="45"/>
      <c r="HT195" s="45"/>
      <c r="HU195" s="45"/>
      <c r="HV195" s="45"/>
      <c r="HW195" s="45"/>
      <c r="HX195" s="45"/>
      <c r="HY195" s="45"/>
      <c r="HZ195" s="45"/>
      <c r="IA195" s="45"/>
      <c r="IB195" s="45"/>
      <c r="IC195" s="45"/>
      <c r="ID195" s="45"/>
      <c r="IE195" s="45"/>
      <c r="IF195" s="45"/>
      <c r="IG195" s="45"/>
      <c r="IH195" s="45"/>
      <c r="II195" s="45"/>
      <c r="IJ195" s="45"/>
      <c r="IK195" s="45"/>
      <c r="IL195" s="45"/>
      <c r="IM195" s="45"/>
      <c r="IN195" s="45"/>
      <c r="IO195" s="45"/>
      <c r="IP195" s="45"/>
      <c r="IQ195" s="45"/>
      <c r="IR195" s="45"/>
      <c r="IS195" s="45"/>
      <c r="IT195" s="45"/>
    </row>
    <row r="196" s="7" customFormat="1" ht="30" customHeight="1" spans="1:254">
      <c r="A196" s="26"/>
      <c r="B196" s="48"/>
      <c r="C196" s="49" t="s">
        <v>401</v>
      </c>
      <c r="D196" s="49"/>
      <c r="E196" s="50"/>
      <c r="F196" s="51"/>
      <c r="G196" s="24"/>
      <c r="H196" s="24"/>
      <c r="I196" s="24">
        <f>SUM(I3:I195)</f>
        <v>0</v>
      </c>
      <c r="J196" s="51"/>
      <c r="K196" s="52"/>
      <c r="L196" s="53"/>
      <c r="M196" s="54"/>
      <c r="N196" s="54"/>
      <c r="O196" s="54"/>
      <c r="P196" s="54"/>
      <c r="Q196" s="54"/>
    </row>
    <row r="197" ht="80.1" customHeight="1"/>
  </sheetData>
  <autoFilter xmlns:etc="http://www.wps.cn/officeDocument/2017/etCustomData" ref="A2:IV196" etc:filterBottomFollowUsedRange="0">
    <sortState ref="A2:IV196">
      <sortCondition ref="A2"/>
    </sortState>
    <extLst/>
  </autoFilter>
  <mergeCells count="1">
    <mergeCell ref="A1:J1"/>
  </mergeCells>
  <pageMargins left="0.393055555555556" right="0.393055555555556" top="0.53125" bottom="0.472222222222222" header="0.298611111111111" footer="0.196527777777778"/>
  <pageSetup paperSize="9" scale="90" fitToHeight="0" orientation="landscape" verticalDpi="180"/>
  <headerFooter>
    <oddFooter>&amp;C第 &amp;P 页，共 &amp;N 页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小郑</cp:lastModifiedBy>
  <dcterms:created xsi:type="dcterms:W3CDTF">2006-09-14T03:21:00Z</dcterms:created>
  <cp:lastPrinted>2020-10-29T02:43:00Z</cp:lastPrinted>
  <dcterms:modified xsi:type="dcterms:W3CDTF">2026-03-04T08:55:02Z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34C2A34AB683ABFB449DA2695C4A7A43_43</vt:lpwstr>
  </property>
  <property fmtid="{D5CDD505-2E9C-101B-9397-08002B2CF9AE}" pid="4" name="CalculationRule">
    <vt:i4>0</vt:i4>
  </property>
</Properties>
</file>